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01.07.16" sheetId="1" r:id="rId1"/>
  </sheets>
  <calcPr calcId="152511"/>
</workbook>
</file>

<file path=xl/calcChain.xml><?xml version="1.0" encoding="utf-8"?>
<calcChain xmlns="http://schemas.openxmlformats.org/spreadsheetml/2006/main">
  <c r="P29" i="1" l="1"/>
  <c r="N40" i="1" l="1"/>
  <c r="N39" i="1"/>
  <c r="N10" i="1"/>
  <c r="O8" i="1"/>
  <c r="N3" i="1"/>
  <c r="F4" i="1"/>
  <c r="F3" i="1" s="1"/>
  <c r="P27" i="1"/>
  <c r="N27" i="1"/>
  <c r="O27" i="1" s="1"/>
  <c r="J27" i="1"/>
  <c r="F27" i="1"/>
  <c r="M27" i="1" s="1"/>
  <c r="D27" i="1"/>
  <c r="P26" i="1"/>
  <c r="N26" i="1"/>
  <c r="O26" i="1" s="1"/>
  <c r="J26" i="1"/>
  <c r="D26" i="1"/>
  <c r="N25" i="1"/>
  <c r="O25" i="1" s="1"/>
  <c r="Q25" i="1" s="1"/>
  <c r="S25" i="1" s="1"/>
  <c r="J25" i="1"/>
  <c r="M25" i="1" s="1"/>
  <c r="D25" i="1"/>
  <c r="P24" i="1"/>
  <c r="N24" i="1"/>
  <c r="O24" i="1" s="1"/>
  <c r="Q24" i="1" s="1"/>
  <c r="S24" i="1" s="1"/>
  <c r="M24" i="1"/>
  <c r="J24" i="1"/>
  <c r="F24" i="1"/>
  <c r="D24" i="1"/>
  <c r="M26" i="1" l="1"/>
  <c r="Q27" i="1"/>
  <c r="S27" i="1" s="1"/>
  <c r="Q26" i="1"/>
  <c r="S26" i="1" s="1"/>
  <c r="P39" i="1" l="1"/>
  <c r="J40" i="1"/>
  <c r="F40" i="1"/>
  <c r="D40" i="1"/>
  <c r="O40" i="1"/>
  <c r="Q40" i="1" s="1"/>
  <c r="S40" i="1" s="1"/>
  <c r="M40" i="1"/>
  <c r="H39" i="1"/>
  <c r="F39" i="1"/>
  <c r="D39" i="1"/>
  <c r="O39" i="1"/>
  <c r="F38" i="1"/>
  <c r="D38" i="1"/>
  <c r="P38" i="1"/>
  <c r="J37" i="1"/>
  <c r="H37" i="1"/>
  <c r="F37" i="1"/>
  <c r="D37" i="1"/>
  <c r="H35" i="1"/>
  <c r="H34" i="1"/>
  <c r="J34" i="1"/>
  <c r="J35" i="1"/>
  <c r="N29" i="1"/>
  <c r="N30" i="1"/>
  <c r="N31" i="1"/>
  <c r="N32" i="1"/>
  <c r="N33" i="1"/>
  <c r="N28" i="1"/>
  <c r="J33" i="1"/>
  <c r="H33" i="1"/>
  <c r="H32" i="1"/>
  <c r="F32" i="1"/>
  <c r="D32" i="1"/>
  <c r="H31" i="1"/>
  <c r="H30" i="1"/>
  <c r="N19" i="1"/>
  <c r="N20" i="1"/>
  <c r="N21" i="1"/>
  <c r="N22" i="1"/>
  <c r="N23" i="1"/>
  <c r="N18" i="1"/>
  <c r="M19" i="1"/>
  <c r="M22" i="1"/>
  <c r="H15" i="1"/>
  <c r="N16" i="1"/>
  <c r="N17" i="1"/>
  <c r="N15" i="1"/>
  <c r="N14" i="1"/>
  <c r="N12" i="1"/>
  <c r="N13" i="1"/>
  <c r="N11" i="1"/>
  <c r="H9" i="1"/>
  <c r="N9" i="1"/>
  <c r="N8" i="1"/>
  <c r="J29" i="1"/>
  <c r="Q39" i="1" l="1"/>
  <c r="S39" i="1" s="1"/>
  <c r="M32" i="1"/>
  <c r="H29" i="1"/>
  <c r="J28" i="1" l="1"/>
  <c r="F28" i="1"/>
  <c r="D28" i="1"/>
  <c r="P22" i="1"/>
  <c r="J14" i="1"/>
  <c r="M28" i="1" l="1"/>
  <c r="J23" i="1" l="1"/>
  <c r="F23" i="1"/>
  <c r="D23" i="1"/>
  <c r="J21" i="1"/>
  <c r="F21" i="1"/>
  <c r="D21" i="1"/>
  <c r="J18" i="1"/>
  <c r="D17" i="1"/>
  <c r="M17" i="1" s="1"/>
  <c r="H16" i="1"/>
  <c r="F16" i="1"/>
  <c r="D16" i="1"/>
  <c r="J15" i="1"/>
  <c r="P13" i="1"/>
  <c r="J13" i="1"/>
  <c r="H13" i="1"/>
  <c r="J12" i="1"/>
  <c r="H11" i="1"/>
  <c r="J11" i="1"/>
  <c r="J10" i="1"/>
  <c r="H10" i="1"/>
  <c r="P8" i="1"/>
  <c r="J8" i="1"/>
  <c r="H8" i="1"/>
  <c r="M16" i="1" l="1"/>
  <c r="M23" i="1"/>
  <c r="M21" i="1"/>
  <c r="H20" i="1" l="1"/>
  <c r="S4" i="1"/>
  <c r="S5" i="1"/>
  <c r="S6" i="1"/>
  <c r="S7" i="1"/>
  <c r="O16" i="1"/>
  <c r="Q16" i="1" s="1"/>
  <c r="S16" i="1" s="1"/>
  <c r="F33" i="1" l="1"/>
  <c r="F36" i="1"/>
  <c r="F35" i="1"/>
  <c r="F34" i="1"/>
  <c r="F31" i="1"/>
  <c r="F30" i="1"/>
  <c r="F29" i="1"/>
  <c r="D33" i="1"/>
  <c r="D36" i="1"/>
  <c r="D35" i="1"/>
  <c r="D34" i="1"/>
  <c r="D31" i="1"/>
  <c r="D30" i="1"/>
  <c r="D29" i="1"/>
  <c r="F13" i="1"/>
  <c r="D13" i="1"/>
  <c r="F14" i="1"/>
  <c r="F20" i="1"/>
  <c r="F18" i="1"/>
  <c r="F15" i="1"/>
  <c r="F12" i="1"/>
  <c r="F11" i="1"/>
  <c r="F9" i="1"/>
  <c r="F10" i="1"/>
  <c r="F8" i="1"/>
  <c r="D14" i="1"/>
  <c r="D20" i="1"/>
  <c r="D18" i="1"/>
  <c r="D15" i="1"/>
  <c r="D12" i="1"/>
  <c r="D11" i="1"/>
  <c r="D9" i="1"/>
  <c r="D10" i="1"/>
  <c r="D8" i="1"/>
  <c r="O3" i="1"/>
  <c r="Q3" i="1" s="1"/>
  <c r="S3" i="1" s="1"/>
  <c r="H3" i="1"/>
  <c r="J3" i="1"/>
  <c r="F7" i="1"/>
  <c r="F6" i="1"/>
  <c r="F5" i="1"/>
  <c r="D7" i="1"/>
  <c r="D6" i="1"/>
  <c r="D5" i="1"/>
  <c r="D4" i="1"/>
  <c r="M15" i="1" l="1"/>
  <c r="M29" i="1"/>
  <c r="M33" i="1"/>
  <c r="M30" i="1"/>
  <c r="M31" i="1"/>
  <c r="M10" i="1"/>
  <c r="M12" i="1"/>
  <c r="M14" i="1"/>
  <c r="M9" i="1"/>
  <c r="M18" i="1"/>
  <c r="M8" i="1"/>
  <c r="M11" i="1"/>
  <c r="M20" i="1"/>
  <c r="M13" i="1"/>
  <c r="D3" i="1"/>
  <c r="N37" i="1"/>
  <c r="O37" i="1" s="1"/>
  <c r="Q37" i="1" s="1"/>
  <c r="S37" i="1" s="1"/>
  <c r="O32" i="1"/>
  <c r="Q32" i="1" s="1"/>
  <c r="S32" i="1" s="1"/>
  <c r="O22" i="1"/>
  <c r="Q22" i="1" s="1"/>
  <c r="S22" i="1" s="1"/>
  <c r="O17" i="1"/>
  <c r="Q17" i="1" s="1"/>
  <c r="S17" i="1" s="1"/>
  <c r="M3" i="1" l="1"/>
  <c r="O20" i="1"/>
  <c r="Q20" i="1" s="1"/>
  <c r="S20" i="1" s="1"/>
  <c r="O11" i="1" l="1"/>
  <c r="Q11" i="1" s="1"/>
  <c r="S11" i="1" s="1"/>
  <c r="N36" i="1"/>
  <c r="N34" i="1"/>
  <c r="O9" i="1" l="1"/>
  <c r="N38" i="1" l="1"/>
  <c r="O38" i="1" s="1"/>
  <c r="Q38" i="1" s="1"/>
  <c r="S38" i="1" s="1"/>
  <c r="O36" i="1"/>
  <c r="Q36" i="1" s="1"/>
  <c r="S36" i="1" s="1"/>
  <c r="N35" i="1"/>
  <c r="M34" i="1"/>
  <c r="O31" i="1"/>
  <c r="Q31" i="1" s="1"/>
  <c r="S31" i="1" s="1"/>
  <c r="O30" i="1"/>
  <c r="Q30" i="1" s="1"/>
  <c r="S30" i="1" s="1"/>
  <c r="O28" i="1"/>
  <c r="Q28" i="1" s="1"/>
  <c r="S28" i="1" s="1"/>
  <c r="O23" i="1"/>
  <c r="Q23" i="1" s="1"/>
  <c r="S23" i="1" s="1"/>
  <c r="O21" i="1"/>
  <c r="Q21" i="1" s="1"/>
  <c r="S21" i="1" s="1"/>
  <c r="O19" i="1"/>
  <c r="Q19" i="1" s="1"/>
  <c r="S19" i="1" s="1"/>
  <c r="O18" i="1"/>
  <c r="Q18" i="1" s="1"/>
  <c r="S18" i="1" s="1"/>
  <c r="O15" i="1"/>
  <c r="Q15" i="1" s="1"/>
  <c r="S15" i="1" s="1"/>
  <c r="Q8" i="1"/>
  <c r="S8" i="1" s="1"/>
  <c r="O13" i="1"/>
  <c r="Q13" i="1" s="1"/>
  <c r="S13" i="1" s="1"/>
  <c r="O14" i="1" l="1"/>
  <c r="O29" i="1" l="1"/>
  <c r="Q29" i="1" s="1"/>
  <c r="S29" i="1" s="1"/>
  <c r="M35" i="1"/>
  <c r="O35" i="1"/>
  <c r="Q35" i="1" s="1"/>
  <c r="S35" i="1" s="1"/>
  <c r="O34" i="1"/>
  <c r="Q34" i="1" s="1"/>
  <c r="S34" i="1" s="1"/>
  <c r="O33" i="1"/>
  <c r="Q33" i="1" s="1"/>
  <c r="S33" i="1" s="1"/>
  <c r="O10" i="1" l="1"/>
  <c r="Q10" i="1" s="1"/>
  <c r="S10" i="1" s="1"/>
  <c r="Q9" i="1"/>
  <c r="S9" i="1" s="1"/>
  <c r="O12" i="1"/>
  <c r="Q12" i="1" s="1"/>
  <c r="S12" i="1" s="1"/>
  <c r="Q14" i="1"/>
  <c r="S14" i="1" s="1"/>
</calcChain>
</file>

<file path=xl/comments1.xml><?xml version="1.0" encoding="utf-8"?>
<comments xmlns="http://schemas.openxmlformats.org/spreadsheetml/2006/main">
  <authors>
    <author>Автор</author>
  </authors>
  <commentList>
    <comment ref="H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тендерка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комплектация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тендерная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тендерка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комплектация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АН и Комплектация в Договоре без сроков. +200 часов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комплектация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комплектация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тендерка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комплектация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комплектация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комплектация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платно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платно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комплектация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платно
</t>
        </r>
      </text>
    </comment>
  </commentList>
</comments>
</file>

<file path=xl/sharedStrings.xml><?xml version="1.0" encoding="utf-8"?>
<sst xmlns="http://schemas.openxmlformats.org/spreadsheetml/2006/main" count="82" uniqueCount="71">
  <si>
    <t>Проект</t>
  </si>
  <si>
    <t>Гленуил</t>
  </si>
  <si>
    <t xml:space="preserve">Богословский </t>
  </si>
  <si>
    <t>Бургерная 2</t>
  </si>
  <si>
    <t>Джу-Джу</t>
  </si>
  <si>
    <t>Зотман Рубл. Шоссе</t>
  </si>
  <si>
    <t>Ибис Летниковская</t>
  </si>
  <si>
    <t>Хилтон Н.Новгород</t>
  </si>
  <si>
    <t>Новотель Архангельск</t>
  </si>
  <si>
    <t>Катюша</t>
  </si>
  <si>
    <t>Меркюр Саранск</t>
  </si>
  <si>
    <t>Оля СО</t>
  </si>
  <si>
    <t>Кампус</t>
  </si>
  <si>
    <t>Садовые кварталы</t>
  </si>
  <si>
    <t>Ибис Рыбалко</t>
  </si>
  <si>
    <t>Тажин</t>
  </si>
  <si>
    <t>Город-Сад Б.Дмитровка</t>
  </si>
  <si>
    <t>Кукареку</t>
  </si>
  <si>
    <t>Офис Конный</t>
  </si>
  <si>
    <t>Салюмерия</t>
  </si>
  <si>
    <t>Рэдиссон Блю Ростов</t>
  </si>
  <si>
    <t>Зотман веранда</t>
  </si>
  <si>
    <t>Суши-Бар Сочи</t>
  </si>
  <si>
    <t>Микоян Сочи</t>
  </si>
  <si>
    <t>заморожен</t>
  </si>
  <si>
    <t xml:space="preserve">Меркюр Калининград </t>
  </si>
  <si>
    <t>Коворкинг</t>
  </si>
  <si>
    <t>Шале Березка</t>
  </si>
  <si>
    <t>Урюк</t>
  </si>
  <si>
    <t>Пуллман ВЕРСАЛЬ</t>
  </si>
  <si>
    <t>Пуллман БЕРЛИН</t>
  </si>
  <si>
    <t>Дизайнер</t>
  </si>
  <si>
    <t>Хачатрян
Шушана</t>
  </si>
  <si>
    <t>План</t>
  </si>
  <si>
    <t>Факт</t>
  </si>
  <si>
    <t>Прибыль</t>
  </si>
  <si>
    <t>1 зона</t>
  </si>
  <si>
    <t>2 зона</t>
  </si>
  <si>
    <t>3 зона</t>
  </si>
  <si>
    <t>4 зона</t>
  </si>
  <si>
    <t>Холидей инн Тушино:</t>
  </si>
  <si>
    <t>Часы КД,
 договор</t>
  </si>
  <si>
    <t>Часы КД,
 факт</t>
  </si>
  <si>
    <t>Часы РД,
 договор</t>
  </si>
  <si>
    <t>Часы РД,
 Факт</t>
  </si>
  <si>
    <t>Часы Компл, 
факт</t>
  </si>
  <si>
    <t>Часы Компл,
договор</t>
  </si>
  <si>
    <t>Часы АН,
 Договор</t>
  </si>
  <si>
    <t>Часы АН,
 факт</t>
  </si>
  <si>
    <t>Часы АЧ, 
факт</t>
  </si>
  <si>
    <t xml:space="preserve">включена
</t>
  </si>
  <si>
    <t>Общее количество часов по проекту</t>
  </si>
  <si>
    <t>Общая сумма по Договору</t>
  </si>
  <si>
    <t>Себестоимость
факт</t>
  </si>
  <si>
    <t>Ващинская Таня</t>
  </si>
  <si>
    <t>Катюша Шереметьево</t>
  </si>
  <si>
    <t>Агентские</t>
  </si>
  <si>
    <t>Комментарий</t>
  </si>
  <si>
    <t>Итого Прибыль</t>
  </si>
  <si>
    <t>Есенина Кристина</t>
  </si>
  <si>
    <t>Жуковка 21 тендер</t>
  </si>
  <si>
    <t>Попок Яна</t>
  </si>
  <si>
    <t>долг за комплектацию</t>
  </si>
  <si>
    <t>долги!</t>
  </si>
  <si>
    <t>долг 10 000!</t>
  </si>
  <si>
    <t>Рыкова Лера</t>
  </si>
  <si>
    <t>Фрэш Жуковка</t>
  </si>
  <si>
    <t>Новотель Новослободская</t>
  </si>
  <si>
    <t>долг</t>
  </si>
  <si>
    <t>довыставить АЧ</t>
  </si>
  <si>
    <t>Бадаевский Китайский+Доп.согл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</si>
</sst>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Fill="1" applyBorder="1"/>
    <xf numFmtId="0" fontId="8" fillId="0" borderId="0" xfId="0" applyFont="1"/>
    <xf numFmtId="44" fontId="9" fillId="3" borderId="1" xfId="1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/>
    <xf numFmtId="44" fontId="8" fillId="3" borderId="10" xfId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44" fontId="9" fillId="3" borderId="4" xfId="1" applyFon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44" fontId="9" fillId="3" borderId="7" xfId="1" applyFont="1" applyFill="1" applyBorder="1" applyAlignment="1">
      <alignment horizontal="center"/>
    </xf>
    <xf numFmtId="44" fontId="8" fillId="3" borderId="18" xfId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44" fontId="8" fillId="3" borderId="17" xfId="1" applyFont="1" applyFill="1" applyBorder="1" applyAlignment="1">
      <alignment horizontal="center"/>
    </xf>
    <xf numFmtId="0" fontId="0" fillId="3" borderId="7" xfId="0" applyFill="1" applyBorder="1"/>
    <xf numFmtId="44" fontId="0" fillId="3" borderId="7" xfId="0" applyNumberFormat="1" applyFill="1" applyBorder="1"/>
    <xf numFmtId="0" fontId="0" fillId="3" borderId="8" xfId="0" applyFill="1" applyBorder="1"/>
    <xf numFmtId="0" fontId="2" fillId="4" borderId="1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4" fontId="9" fillId="4" borderId="1" xfId="1" applyFont="1" applyFill="1" applyBorder="1" applyAlignment="1">
      <alignment horizontal="center"/>
    </xf>
    <xf numFmtId="44" fontId="8" fillId="4" borderId="10" xfId="1" applyFont="1" applyFill="1" applyBorder="1" applyAlignment="1">
      <alignment horizontal="center"/>
    </xf>
    <xf numFmtId="0" fontId="0" fillId="4" borderId="1" xfId="0" applyFill="1" applyBorder="1"/>
    <xf numFmtId="44" fontId="0" fillId="4" borderId="1" xfId="0" applyNumberFormat="1" applyFill="1" applyBorder="1"/>
    <xf numFmtId="0" fontId="0" fillId="4" borderId="12" xfId="0" applyFill="1" applyBorder="1"/>
    <xf numFmtId="0" fontId="0" fillId="5" borderId="4" xfId="0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44" fontId="9" fillId="5" borderId="4" xfId="1" applyFont="1" applyFill="1" applyBorder="1" applyAlignment="1">
      <alignment horizontal="center"/>
    </xf>
    <xf numFmtId="0" fontId="0" fillId="5" borderId="4" xfId="0" applyFill="1" applyBorder="1"/>
    <xf numFmtId="44" fontId="0" fillId="5" borderId="4" xfId="0" applyNumberFormat="1" applyFill="1" applyBorder="1"/>
    <xf numFmtId="0" fontId="0" fillId="5" borderId="5" xfId="0" applyFill="1" applyBorder="1"/>
    <xf numFmtId="0" fontId="2" fillId="5" borderId="1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44" fontId="9" fillId="5" borderId="1" xfId="1" applyFont="1" applyFill="1" applyBorder="1" applyAlignment="1">
      <alignment horizontal="center"/>
    </xf>
    <xf numFmtId="44" fontId="8" fillId="5" borderId="10" xfId="1" applyFont="1" applyFill="1" applyBorder="1" applyAlignment="1">
      <alignment horizontal="center"/>
    </xf>
    <xf numFmtId="0" fontId="0" fillId="5" borderId="1" xfId="0" applyFill="1" applyBorder="1"/>
    <xf numFmtId="44" fontId="0" fillId="5" borderId="1" xfId="0" applyNumberFormat="1" applyFill="1" applyBorder="1"/>
    <xf numFmtId="0" fontId="0" fillId="5" borderId="12" xfId="0" applyFill="1" applyBorder="1"/>
    <xf numFmtId="0" fontId="0" fillId="5" borderId="7" xfId="0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4" fontId="9" fillId="5" borderId="7" xfId="1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6" borderId="4" xfId="0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44" fontId="9" fillId="6" borderId="4" xfId="1" applyFont="1" applyFill="1" applyBorder="1" applyAlignment="1">
      <alignment horizontal="center"/>
    </xf>
    <xf numFmtId="0" fontId="0" fillId="6" borderId="1" xfId="0" applyFill="1" applyBorder="1"/>
    <xf numFmtId="44" fontId="0" fillId="6" borderId="1" xfId="0" applyNumberFormat="1" applyFill="1" applyBorder="1"/>
    <xf numFmtId="0" fontId="0" fillId="6" borderId="1" xfId="0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44" fontId="9" fillId="6" borderId="1" xfId="1" applyFont="1" applyFill="1" applyBorder="1" applyAlignment="1">
      <alignment horizontal="center"/>
    </xf>
    <xf numFmtId="0" fontId="0" fillId="6" borderId="13" xfId="0" applyFill="1" applyBorder="1"/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44" fontId="8" fillId="6" borderId="1" xfId="1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44" fontId="8" fillId="6" borderId="4" xfId="1" applyFont="1" applyFill="1" applyBorder="1" applyAlignment="1">
      <alignment horizontal="center"/>
    </xf>
    <xf numFmtId="0" fontId="0" fillId="6" borderId="4" xfId="0" applyFill="1" applyBorder="1"/>
    <xf numFmtId="44" fontId="0" fillId="6" borderId="4" xfId="0" applyNumberFormat="1" applyFill="1" applyBorder="1"/>
    <xf numFmtId="0" fontId="0" fillId="6" borderId="5" xfId="0" applyFill="1" applyBorder="1"/>
    <xf numFmtId="0" fontId="0" fillId="6" borderId="12" xfId="0" applyFill="1" applyBorder="1"/>
    <xf numFmtId="0" fontId="2" fillId="4" borderId="1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44" fontId="9" fillId="7" borderId="1" xfId="1" applyFont="1" applyFill="1" applyBorder="1" applyAlignment="1">
      <alignment horizontal="center"/>
    </xf>
    <xf numFmtId="44" fontId="8" fillId="7" borderId="10" xfId="1" applyFont="1" applyFill="1" applyBorder="1" applyAlignment="1">
      <alignment horizontal="center"/>
    </xf>
    <xf numFmtId="0" fontId="0" fillId="7" borderId="1" xfId="0" applyFill="1" applyBorder="1"/>
    <xf numFmtId="44" fontId="0" fillId="7" borderId="1" xfId="0" applyNumberFormat="1" applyFill="1" applyBorder="1"/>
    <xf numFmtId="0" fontId="0" fillId="7" borderId="12" xfId="0" applyFill="1" applyBorder="1"/>
    <xf numFmtId="0" fontId="0" fillId="7" borderId="7" xfId="0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4" fontId="9" fillId="7" borderId="7" xfId="1" applyFont="1" applyFill="1" applyBorder="1" applyAlignment="1">
      <alignment horizontal="center"/>
    </xf>
    <xf numFmtId="44" fontId="8" fillId="7" borderId="18" xfId="1" applyFont="1" applyFill="1" applyBorder="1" applyAlignment="1">
      <alignment horizontal="center"/>
    </xf>
    <xf numFmtId="0" fontId="0" fillId="7" borderId="7" xfId="0" applyFill="1" applyBorder="1"/>
    <xf numFmtId="44" fontId="0" fillId="7" borderId="7" xfId="0" applyNumberFormat="1" applyFill="1" applyBorder="1"/>
    <xf numFmtId="0" fontId="0" fillId="7" borderId="8" xfId="0" applyFill="1" applyBorder="1"/>
    <xf numFmtId="0" fontId="2" fillId="6" borderId="13" xfId="0" applyFont="1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7" fillId="6" borderId="13" xfId="0" applyFont="1" applyFill="1" applyBorder="1" applyAlignment="1">
      <alignment horizontal="left"/>
    </xf>
    <xf numFmtId="44" fontId="9" fillId="6" borderId="13" xfId="1" applyFont="1" applyFill="1" applyBorder="1" applyAlignment="1">
      <alignment horizontal="center"/>
    </xf>
    <xf numFmtId="44" fontId="8" fillId="6" borderId="13" xfId="1" applyFont="1" applyFill="1" applyBorder="1" applyAlignment="1">
      <alignment horizontal="center"/>
    </xf>
    <xf numFmtId="0" fontId="0" fillId="6" borderId="19" xfId="0" applyFill="1" applyBorder="1"/>
    <xf numFmtId="0" fontId="2" fillId="4" borderId="25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44" fontId="9" fillId="4" borderId="2" xfId="1" applyFont="1" applyFill="1" applyBorder="1" applyAlignment="1">
      <alignment horizontal="center"/>
    </xf>
    <xf numFmtId="44" fontId="8" fillId="4" borderId="9" xfId="1" applyFont="1" applyFill="1" applyBorder="1" applyAlignment="1">
      <alignment horizontal="center"/>
    </xf>
    <xf numFmtId="0" fontId="0" fillId="4" borderId="2" xfId="0" applyFill="1" applyBorder="1"/>
    <xf numFmtId="44" fontId="0" fillId="4" borderId="2" xfId="0" applyNumberFormat="1" applyFill="1" applyBorder="1"/>
    <xf numFmtId="0" fontId="0" fillId="4" borderId="24" xfId="0" applyFill="1" applyBorder="1"/>
    <xf numFmtId="0" fontId="2" fillId="5" borderId="1" xfId="0" applyFont="1" applyFill="1" applyBorder="1" applyAlignment="1">
      <alignment horizontal="left"/>
    </xf>
    <xf numFmtId="44" fontId="8" fillId="5" borderId="1" xfId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44" fontId="8" fillId="5" borderId="4" xfId="1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44" fontId="8" fillId="5" borderId="7" xfId="1" applyFont="1" applyFill="1" applyBorder="1" applyAlignment="1">
      <alignment horizontal="center"/>
    </xf>
    <xf numFmtId="0" fontId="0" fillId="3" borderId="4" xfId="0" applyFill="1" applyBorder="1"/>
    <xf numFmtId="44" fontId="0" fillId="3" borderId="4" xfId="0" applyNumberFormat="1" applyFill="1" applyBorder="1"/>
    <xf numFmtId="0" fontId="0" fillId="3" borderId="5" xfId="0" applyFill="1" applyBorder="1"/>
    <xf numFmtId="0" fontId="0" fillId="3" borderId="1" xfId="0" applyFill="1" applyBorder="1"/>
    <xf numFmtId="44" fontId="0" fillId="3" borderId="1" xfId="0" applyNumberFormat="1" applyFill="1" applyBorder="1"/>
    <xf numFmtId="0" fontId="0" fillId="3" borderId="12" xfId="0" applyFill="1" applyBorder="1"/>
    <xf numFmtId="0" fontId="2" fillId="3" borderId="7" xfId="0" applyFont="1" applyFill="1" applyBorder="1" applyAlignment="1">
      <alignment horizontal="left"/>
    </xf>
    <xf numFmtId="0" fontId="0" fillId="0" borderId="0" xfId="0" applyFill="1" applyBorder="1" applyAlignment="1"/>
    <xf numFmtId="0" fontId="2" fillId="7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44" fontId="9" fillId="8" borderId="1" xfId="1" applyFont="1" applyFill="1" applyBorder="1" applyAlignment="1">
      <alignment horizontal="center"/>
    </xf>
    <xf numFmtId="44" fontId="8" fillId="8" borderId="10" xfId="1" applyFont="1" applyFill="1" applyBorder="1" applyAlignment="1">
      <alignment horizontal="center"/>
    </xf>
    <xf numFmtId="0" fontId="0" fillId="8" borderId="1" xfId="0" applyFill="1" applyBorder="1"/>
    <xf numFmtId="44" fontId="0" fillId="8" borderId="1" xfId="0" applyNumberFormat="1" applyFill="1" applyBorder="1"/>
    <xf numFmtId="0" fontId="2" fillId="7" borderId="7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44" fontId="7" fillId="6" borderId="4" xfId="1" applyFont="1" applyFill="1" applyBorder="1" applyAlignment="1">
      <alignment horizontal="center"/>
    </xf>
    <xf numFmtId="44" fontId="7" fillId="6" borderId="1" xfId="1" applyFont="1" applyFill="1" applyBorder="1" applyAlignment="1">
      <alignment horizontal="center"/>
    </xf>
    <xf numFmtId="44" fontId="7" fillId="6" borderId="13" xfId="1" applyFont="1" applyFill="1" applyBorder="1" applyAlignment="1">
      <alignment horizontal="center"/>
    </xf>
    <xf numFmtId="44" fontId="7" fillId="5" borderId="4" xfId="1" applyFont="1" applyFill="1" applyBorder="1" applyAlignment="1">
      <alignment horizontal="center"/>
    </xf>
    <xf numFmtId="44" fontId="7" fillId="5" borderId="1" xfId="1" applyFont="1" applyFill="1" applyBorder="1" applyAlignment="1">
      <alignment horizontal="center"/>
    </xf>
    <xf numFmtId="44" fontId="7" fillId="5" borderId="7" xfId="1" applyFont="1" applyFill="1" applyBorder="1" applyAlignment="1">
      <alignment horizontal="center"/>
    </xf>
    <xf numFmtId="44" fontId="7" fillId="4" borderId="2" xfId="1" applyFont="1" applyFill="1" applyBorder="1" applyAlignment="1">
      <alignment horizontal="center"/>
    </xf>
    <xf numFmtId="44" fontId="7" fillId="4" borderId="1" xfId="1" applyFont="1" applyFill="1" applyBorder="1" applyAlignment="1">
      <alignment horizontal="center"/>
    </xf>
    <xf numFmtId="44" fontId="7" fillId="7" borderId="1" xfId="1" applyFont="1" applyFill="1" applyBorder="1" applyAlignment="1">
      <alignment horizontal="center"/>
    </xf>
    <xf numFmtId="44" fontId="7" fillId="7" borderId="7" xfId="1" applyFont="1" applyFill="1" applyBorder="1" applyAlignment="1">
      <alignment horizontal="center"/>
    </xf>
    <xf numFmtId="44" fontId="7" fillId="3" borderId="4" xfId="1" applyFont="1" applyFill="1" applyBorder="1" applyAlignment="1">
      <alignment horizontal="center"/>
    </xf>
    <xf numFmtId="44" fontId="7" fillId="3" borderId="1" xfId="1" applyFont="1" applyFill="1" applyBorder="1" applyAlignment="1">
      <alignment horizontal="center"/>
    </xf>
    <xf numFmtId="44" fontId="7" fillId="3" borderId="7" xfId="1" applyFont="1" applyFill="1" applyBorder="1" applyAlignment="1">
      <alignment horizontal="center"/>
    </xf>
    <xf numFmtId="44" fontId="7" fillId="8" borderId="1" xfId="1" applyFont="1" applyFill="1" applyBorder="1" applyAlignment="1">
      <alignment horizontal="center"/>
    </xf>
    <xf numFmtId="44" fontId="2" fillId="9" borderId="13" xfId="0" applyNumberFormat="1" applyFont="1" applyFill="1" applyBorder="1"/>
    <xf numFmtId="44" fontId="2" fillId="9" borderId="7" xfId="0" applyNumberFormat="1" applyFont="1" applyFill="1" applyBorder="1"/>
    <xf numFmtId="44" fontId="2" fillId="9" borderId="1" xfId="0" applyNumberFormat="1" applyFont="1" applyFill="1" applyBorder="1"/>
    <xf numFmtId="0" fontId="5" fillId="2" borderId="4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0" fillId="7" borderId="27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44" fontId="2" fillId="2" borderId="4" xfId="1" applyFont="1" applyFill="1" applyBorder="1" applyAlignment="1">
      <alignment horizontal="center"/>
    </xf>
    <xf numFmtId="44" fontId="2" fillId="2" borderId="13" xfId="1" applyFont="1" applyFill="1" applyBorder="1" applyAlignment="1">
      <alignment horizontal="center"/>
    </xf>
    <xf numFmtId="0" fontId="0" fillId="6" borderId="1" xfId="0" applyFill="1" applyBorder="1" applyAlignment="1">
      <alignment horizontal="left" wrapText="1"/>
    </xf>
    <xf numFmtId="0" fontId="0" fillId="6" borderId="1" xfId="0" applyFill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1"/>
  <sheetViews>
    <sheetView tabSelected="1" topLeftCell="J1" zoomScale="85" zoomScaleNormal="85" workbookViewId="0">
      <pane ySplit="2" topLeftCell="A15" activePane="bottomLeft" state="frozen"/>
      <selection pane="bottomLeft" activeCell="P29" sqref="P29"/>
    </sheetView>
  </sheetViews>
  <sheetFormatPr defaultRowHeight="15" x14ac:dyDescent="0.25"/>
  <cols>
    <col min="1" max="1" width="10.85546875" customWidth="1"/>
    <col min="2" max="2" width="3" style="1" bestFit="1" customWidth="1"/>
    <col min="3" max="3" width="32.85546875" style="11" bestFit="1" customWidth="1"/>
    <col min="4" max="4" width="13.7109375" style="11" customWidth="1"/>
    <col min="5" max="5" width="11.5703125" style="13" customWidth="1"/>
    <col min="6" max="6" width="13.42578125" customWidth="1"/>
    <col min="7" max="7" width="9.42578125" style="3" customWidth="1"/>
    <col min="8" max="8" width="20.7109375" customWidth="1"/>
    <col min="9" max="9" width="12.85546875" style="3" bestFit="1" customWidth="1"/>
    <col min="10" max="10" width="15.5703125" bestFit="1" customWidth="1"/>
    <col min="11" max="12" width="9.28515625" style="3" bestFit="1" customWidth="1"/>
    <col min="13" max="13" width="9.7109375" customWidth="1"/>
    <col min="14" max="14" width="8.28515625" customWidth="1"/>
    <col min="15" max="15" width="14.7109375" bestFit="1" customWidth="1"/>
    <col min="16" max="16" width="14.7109375" style="18" bestFit="1" customWidth="1"/>
    <col min="17" max="17" width="14.7109375" style="15" bestFit="1" customWidth="1"/>
    <col min="18" max="18" width="10.28515625" bestFit="1" customWidth="1"/>
    <col min="19" max="19" width="14.7109375" bestFit="1" customWidth="1"/>
    <col min="20" max="20" width="61.5703125" bestFit="1" customWidth="1"/>
  </cols>
  <sheetData>
    <row r="1" spans="1:24" ht="47.25" customHeight="1" x14ac:dyDescent="0.25">
      <c r="A1" s="189" t="s">
        <v>31</v>
      </c>
      <c r="B1" s="191"/>
      <c r="C1" s="196" t="s">
        <v>0</v>
      </c>
      <c r="D1" s="165" t="s">
        <v>41</v>
      </c>
      <c r="E1" s="163" t="s">
        <v>42</v>
      </c>
      <c r="F1" s="165" t="s">
        <v>43</v>
      </c>
      <c r="G1" s="163" t="s">
        <v>44</v>
      </c>
      <c r="H1" s="165" t="s">
        <v>46</v>
      </c>
      <c r="I1" s="163" t="s">
        <v>45</v>
      </c>
      <c r="J1" s="165" t="s">
        <v>47</v>
      </c>
      <c r="K1" s="163" t="s">
        <v>48</v>
      </c>
      <c r="L1" s="163" t="s">
        <v>49</v>
      </c>
      <c r="M1" s="165" t="s">
        <v>51</v>
      </c>
      <c r="N1" s="165"/>
      <c r="O1" s="163" t="s">
        <v>53</v>
      </c>
      <c r="P1" s="193" t="s">
        <v>52</v>
      </c>
      <c r="Q1" s="194" t="s">
        <v>35</v>
      </c>
      <c r="R1" s="181" t="s">
        <v>56</v>
      </c>
      <c r="S1" s="183" t="s">
        <v>58</v>
      </c>
      <c r="T1" s="181" t="s">
        <v>57</v>
      </c>
    </row>
    <row r="2" spans="1:24" ht="15.75" thickBot="1" x14ac:dyDescent="0.3">
      <c r="A2" s="190"/>
      <c r="B2" s="192"/>
      <c r="C2" s="197"/>
      <c r="D2" s="166"/>
      <c r="E2" s="164"/>
      <c r="F2" s="166"/>
      <c r="G2" s="164"/>
      <c r="H2" s="166"/>
      <c r="I2" s="164"/>
      <c r="J2" s="166"/>
      <c r="K2" s="164"/>
      <c r="L2" s="164"/>
      <c r="M2" s="74" t="s">
        <v>33</v>
      </c>
      <c r="N2" s="75" t="s">
        <v>34</v>
      </c>
      <c r="O2" s="164"/>
      <c r="P2" s="183"/>
      <c r="Q2" s="195"/>
      <c r="R2" s="182"/>
      <c r="S2" s="184"/>
      <c r="T2" s="182"/>
    </row>
    <row r="3" spans="1:24" x14ac:dyDescent="0.25">
      <c r="A3" s="185" t="s">
        <v>32</v>
      </c>
      <c r="B3" s="62">
        <v>1</v>
      </c>
      <c r="C3" s="62" t="s">
        <v>40</v>
      </c>
      <c r="D3" s="62">
        <f>SUM(D4:D7)</f>
        <v>1752</v>
      </c>
      <c r="E3" s="63">
        <v>1170.26</v>
      </c>
      <c r="F3" s="62">
        <f>SUM(F4:F7)</f>
        <v>1456</v>
      </c>
      <c r="G3" s="64">
        <v>441.05</v>
      </c>
      <c r="H3" s="61">
        <f>20*8</f>
        <v>160</v>
      </c>
      <c r="I3" s="64">
        <v>260.52</v>
      </c>
      <c r="J3" s="61">
        <f>10*3</f>
        <v>30</v>
      </c>
      <c r="K3" s="64">
        <v>4.17</v>
      </c>
      <c r="L3" s="64"/>
      <c r="M3" s="61">
        <f>D3+F3+H3+J3</f>
        <v>3398</v>
      </c>
      <c r="N3" s="65">
        <f>E3+G3+I3+K3</f>
        <v>1876</v>
      </c>
      <c r="O3" s="146">
        <f>N3*1100</f>
        <v>2063600</v>
      </c>
      <c r="P3" s="66">
        <v>3450000</v>
      </c>
      <c r="Q3" s="79">
        <f>P3-O3</f>
        <v>1386400</v>
      </c>
      <c r="R3" s="80"/>
      <c r="S3" s="81">
        <f>Q3+R3</f>
        <v>1386400</v>
      </c>
      <c r="T3" s="82"/>
    </row>
    <row r="4" spans="1:24" x14ac:dyDescent="0.25">
      <c r="A4" s="186"/>
      <c r="B4" s="76"/>
      <c r="C4" s="69" t="s">
        <v>36</v>
      </c>
      <c r="D4" s="69">
        <f>47*8</f>
        <v>376</v>
      </c>
      <c r="E4" s="70"/>
      <c r="F4" s="78">
        <f>30*8</f>
        <v>240</v>
      </c>
      <c r="G4" s="70"/>
      <c r="H4" s="198" t="s">
        <v>50</v>
      </c>
      <c r="I4" s="70"/>
      <c r="J4" s="69"/>
      <c r="K4" s="70"/>
      <c r="L4" s="70"/>
      <c r="M4" s="69"/>
      <c r="N4" s="71"/>
      <c r="O4" s="147"/>
      <c r="P4" s="72"/>
      <c r="Q4" s="77"/>
      <c r="R4" s="67"/>
      <c r="S4" s="68">
        <f t="shared" ref="S4:S38" si="0">Q4+R4</f>
        <v>0</v>
      </c>
      <c r="T4" s="83"/>
    </row>
    <row r="5" spans="1:24" x14ac:dyDescent="0.25">
      <c r="A5" s="186"/>
      <c r="B5" s="76"/>
      <c r="C5" s="69" t="s">
        <v>37</v>
      </c>
      <c r="D5" s="69">
        <f>50*8</f>
        <v>400</v>
      </c>
      <c r="E5" s="70"/>
      <c r="F5" s="69">
        <f>30*8</f>
        <v>240</v>
      </c>
      <c r="G5" s="70"/>
      <c r="H5" s="199"/>
      <c r="I5" s="70"/>
      <c r="J5" s="69"/>
      <c r="K5" s="70"/>
      <c r="L5" s="70"/>
      <c r="M5" s="69"/>
      <c r="N5" s="71"/>
      <c r="O5" s="147"/>
      <c r="P5" s="72"/>
      <c r="Q5" s="77"/>
      <c r="R5" s="67"/>
      <c r="S5" s="68">
        <f t="shared" si="0"/>
        <v>0</v>
      </c>
      <c r="T5" s="83"/>
    </row>
    <row r="6" spans="1:24" x14ac:dyDescent="0.25">
      <c r="A6" s="186"/>
      <c r="B6" s="76"/>
      <c r="C6" s="69" t="s">
        <v>38</v>
      </c>
      <c r="D6" s="69">
        <f>62*8</f>
        <v>496</v>
      </c>
      <c r="E6" s="70"/>
      <c r="F6" s="69">
        <f>71*8</f>
        <v>568</v>
      </c>
      <c r="G6" s="70"/>
      <c r="H6" s="199"/>
      <c r="I6" s="70"/>
      <c r="J6" s="69"/>
      <c r="K6" s="70"/>
      <c r="L6" s="70"/>
      <c r="M6" s="69"/>
      <c r="N6" s="71"/>
      <c r="O6" s="147"/>
      <c r="P6" s="72"/>
      <c r="Q6" s="77"/>
      <c r="R6" s="67"/>
      <c r="S6" s="68">
        <f t="shared" si="0"/>
        <v>0</v>
      </c>
      <c r="T6" s="83"/>
    </row>
    <row r="7" spans="1:24" x14ac:dyDescent="0.25">
      <c r="A7" s="186"/>
      <c r="B7" s="76"/>
      <c r="C7" s="69" t="s">
        <v>39</v>
      </c>
      <c r="D7" s="69">
        <f>60*8</f>
        <v>480</v>
      </c>
      <c r="E7" s="70"/>
      <c r="F7" s="69">
        <f>51*8</f>
        <v>408</v>
      </c>
      <c r="G7" s="70"/>
      <c r="H7" s="199"/>
      <c r="I7" s="70"/>
      <c r="J7" s="69"/>
      <c r="K7" s="70"/>
      <c r="L7" s="70"/>
      <c r="M7" s="69"/>
      <c r="N7" s="71"/>
      <c r="O7" s="147"/>
      <c r="P7" s="72"/>
      <c r="Q7" s="77"/>
      <c r="R7" s="67"/>
      <c r="S7" s="68">
        <f t="shared" si="0"/>
        <v>0</v>
      </c>
      <c r="T7" s="83"/>
    </row>
    <row r="8" spans="1:24" x14ac:dyDescent="0.25">
      <c r="A8" s="186"/>
      <c r="B8" s="76">
        <v>2</v>
      </c>
      <c r="C8" s="76" t="s">
        <v>70</v>
      </c>
      <c r="D8" s="69">
        <f>20*8</f>
        <v>160</v>
      </c>
      <c r="E8" s="70">
        <v>230.78</v>
      </c>
      <c r="F8" s="69">
        <f>20*8</f>
        <v>160</v>
      </c>
      <c r="G8" s="70">
        <v>121.68</v>
      </c>
      <c r="H8" s="69">
        <f>15*8</f>
        <v>120</v>
      </c>
      <c r="I8" s="70">
        <v>82.68</v>
      </c>
      <c r="J8" s="69">
        <f>8*5</f>
        <v>40</v>
      </c>
      <c r="K8" s="70">
        <v>7.5</v>
      </c>
      <c r="L8" s="70">
        <v>22.33</v>
      </c>
      <c r="M8" s="69">
        <f>D8+F8+H8+J8</f>
        <v>480</v>
      </c>
      <c r="N8" s="71">
        <f>E8+G8+I8+K8+L8</f>
        <v>464.97</v>
      </c>
      <c r="O8" s="147">
        <f>N8*1100</f>
        <v>511467.00000000006</v>
      </c>
      <c r="P8" s="72">
        <f>500000+600000</f>
        <v>1100000</v>
      </c>
      <c r="Q8" s="77">
        <f t="shared" ref="Q8:Q15" si="1">P8-O8</f>
        <v>588533</v>
      </c>
      <c r="R8" s="67"/>
      <c r="S8" s="68">
        <f t="shared" si="0"/>
        <v>588533</v>
      </c>
      <c r="T8" s="83"/>
    </row>
    <row r="9" spans="1:24" x14ac:dyDescent="0.25">
      <c r="A9" s="186"/>
      <c r="B9" s="76">
        <v>3</v>
      </c>
      <c r="C9" s="76" t="s">
        <v>3</v>
      </c>
      <c r="D9" s="69">
        <f t="shared" ref="D9:D10" si="2">20*8</f>
        <v>160</v>
      </c>
      <c r="E9" s="70">
        <v>30.36</v>
      </c>
      <c r="F9" s="69">
        <f>15*8</f>
        <v>120</v>
      </c>
      <c r="G9" s="70">
        <v>52.48</v>
      </c>
      <c r="H9" s="69">
        <f>44*8</f>
        <v>352</v>
      </c>
      <c r="I9" s="70">
        <v>17</v>
      </c>
      <c r="J9" s="69">
        <v>2</v>
      </c>
      <c r="K9" s="70">
        <v>3</v>
      </c>
      <c r="L9" s="70">
        <v>2</v>
      </c>
      <c r="M9" s="69">
        <f t="shared" ref="M9" si="3">D9+F9+H9+J9</f>
        <v>634</v>
      </c>
      <c r="N9" s="71">
        <f t="shared" ref="N9" si="4">E9+G9+I9+K9+L9</f>
        <v>104.84</v>
      </c>
      <c r="O9" s="147">
        <f>N9*1100</f>
        <v>115324</v>
      </c>
      <c r="P9" s="72">
        <v>500000</v>
      </c>
      <c r="Q9" s="77">
        <f t="shared" si="1"/>
        <v>384676</v>
      </c>
      <c r="R9" s="144"/>
      <c r="S9" s="68">
        <f t="shared" si="0"/>
        <v>384676</v>
      </c>
      <c r="T9" s="145"/>
    </row>
    <row r="10" spans="1:24" ht="15.75" thickBot="1" x14ac:dyDescent="0.3">
      <c r="A10" s="187"/>
      <c r="B10" s="101">
        <v>4</v>
      </c>
      <c r="C10" s="101" t="s">
        <v>4</v>
      </c>
      <c r="D10" s="102">
        <f t="shared" si="2"/>
        <v>160</v>
      </c>
      <c r="E10" s="103">
        <v>428.13</v>
      </c>
      <c r="F10" s="102">
        <f>20*8</f>
        <v>160</v>
      </c>
      <c r="G10" s="103">
        <v>468.05</v>
      </c>
      <c r="H10" s="102">
        <f>14*8</f>
        <v>112</v>
      </c>
      <c r="I10" s="103">
        <v>265.14999999999998</v>
      </c>
      <c r="J10" s="102">
        <f>10*5</f>
        <v>50</v>
      </c>
      <c r="K10" s="103">
        <v>60.54</v>
      </c>
      <c r="L10" s="103">
        <v>76.540000000000006</v>
      </c>
      <c r="M10" s="102">
        <f t="shared" ref="M10:M15" si="5">D10+F10+H10+J10</f>
        <v>482</v>
      </c>
      <c r="N10" s="104">
        <f>E10+G10+I10+K10+L10</f>
        <v>1298.4099999999999</v>
      </c>
      <c r="O10" s="148">
        <f>N10*1100</f>
        <v>1428250.9999999998</v>
      </c>
      <c r="P10" s="105">
        <v>1122800</v>
      </c>
      <c r="Q10" s="106">
        <f t="shared" si="1"/>
        <v>-305450.99999999977</v>
      </c>
      <c r="R10" s="73"/>
      <c r="S10" s="160">
        <f t="shared" si="0"/>
        <v>-305450.99999999977</v>
      </c>
      <c r="T10" s="107" t="s">
        <v>63</v>
      </c>
    </row>
    <row r="11" spans="1:24" ht="15" customHeight="1" x14ac:dyDescent="0.25">
      <c r="A11" s="170" t="s">
        <v>59</v>
      </c>
      <c r="B11" s="119">
        <v>5</v>
      </c>
      <c r="C11" s="119" t="s">
        <v>25</v>
      </c>
      <c r="D11" s="41">
        <f>50*8</f>
        <v>400</v>
      </c>
      <c r="E11" s="42">
        <v>304.88</v>
      </c>
      <c r="F11" s="41">
        <f>30*8</f>
        <v>240</v>
      </c>
      <c r="G11" s="42"/>
      <c r="H11" s="41">
        <f>20*8</f>
        <v>160</v>
      </c>
      <c r="I11" s="42">
        <v>14</v>
      </c>
      <c r="J11" s="41">
        <f>4*8</f>
        <v>32</v>
      </c>
      <c r="K11" s="42">
        <v>5.84</v>
      </c>
      <c r="L11" s="42"/>
      <c r="M11" s="48">
        <f t="shared" si="5"/>
        <v>832</v>
      </c>
      <c r="N11" s="50">
        <f>E11+G11+I11+K11+L11</f>
        <v>324.71999999999997</v>
      </c>
      <c r="O11" s="149">
        <f>N11*1100</f>
        <v>357191.99999999994</v>
      </c>
      <c r="P11" s="43">
        <v>3700000</v>
      </c>
      <c r="Q11" s="120">
        <f t="shared" si="1"/>
        <v>3342808</v>
      </c>
      <c r="R11" s="44"/>
      <c r="S11" s="45">
        <f t="shared" si="0"/>
        <v>3342808</v>
      </c>
      <c r="T11" s="46"/>
    </row>
    <row r="12" spans="1:24" x14ac:dyDescent="0.25">
      <c r="A12" s="171"/>
      <c r="B12" s="117">
        <v>6</v>
      </c>
      <c r="C12" s="117" t="s">
        <v>2</v>
      </c>
      <c r="D12" s="48">
        <f>55*8</f>
        <v>440</v>
      </c>
      <c r="E12" s="49">
        <v>576.20000000000005</v>
      </c>
      <c r="F12" s="48">
        <f>45*8</f>
        <v>360</v>
      </c>
      <c r="G12" s="49">
        <v>420.56</v>
      </c>
      <c r="H12" s="48">
        <v>100</v>
      </c>
      <c r="I12" s="49">
        <v>251.75</v>
      </c>
      <c r="J12" s="48">
        <f>20*5</f>
        <v>100</v>
      </c>
      <c r="K12" s="49">
        <v>88.52</v>
      </c>
      <c r="L12" s="49">
        <v>81.099999999999994</v>
      </c>
      <c r="M12" s="48">
        <f t="shared" si="5"/>
        <v>1000</v>
      </c>
      <c r="N12" s="50">
        <f t="shared" ref="N12:N13" si="6">E12+G12+I12+K12+L12</f>
        <v>1418.1299999999999</v>
      </c>
      <c r="O12" s="150">
        <f t="shared" ref="O12:O21" si="7">N12*1100</f>
        <v>1559942.9999999998</v>
      </c>
      <c r="P12" s="51">
        <v>1560550</v>
      </c>
      <c r="Q12" s="118">
        <f t="shared" si="1"/>
        <v>607.00000000023283</v>
      </c>
      <c r="R12" s="53"/>
      <c r="S12" s="54">
        <f t="shared" si="0"/>
        <v>607.00000000023283</v>
      </c>
      <c r="T12" s="55" t="s">
        <v>63</v>
      </c>
      <c r="U12" s="2"/>
      <c r="V12" s="2"/>
      <c r="W12" s="2"/>
      <c r="X12" s="2"/>
    </row>
    <row r="13" spans="1:24" x14ac:dyDescent="0.25">
      <c r="A13" s="171"/>
      <c r="B13" s="117">
        <v>7</v>
      </c>
      <c r="C13" s="117" t="s">
        <v>19</v>
      </c>
      <c r="D13" s="48">
        <f>35*8</f>
        <v>280</v>
      </c>
      <c r="E13" s="49">
        <v>867.54</v>
      </c>
      <c r="F13" s="48">
        <f>20*8</f>
        <v>160</v>
      </c>
      <c r="G13" s="49">
        <v>192.24</v>
      </c>
      <c r="H13" s="48">
        <f>20*8</f>
        <v>160</v>
      </c>
      <c r="I13" s="49">
        <v>124.39</v>
      </c>
      <c r="J13" s="48">
        <f>23*2</f>
        <v>46</v>
      </c>
      <c r="K13" s="49">
        <v>18.91</v>
      </c>
      <c r="L13" s="49">
        <v>43.96</v>
      </c>
      <c r="M13" s="48">
        <f t="shared" si="5"/>
        <v>646</v>
      </c>
      <c r="N13" s="50">
        <f t="shared" si="6"/>
        <v>1247.0400000000002</v>
      </c>
      <c r="O13" s="150">
        <f>N13*1100</f>
        <v>1371744.0000000002</v>
      </c>
      <c r="P13" s="51">
        <f>1800000+70000+140000</f>
        <v>2010000</v>
      </c>
      <c r="Q13" s="118">
        <f>P13-O13</f>
        <v>638255.99999999977</v>
      </c>
      <c r="R13" s="53"/>
      <c r="S13" s="54">
        <f>Q13+R13</f>
        <v>638255.99999999977</v>
      </c>
      <c r="T13" s="55"/>
    </row>
    <row r="14" spans="1:24" ht="15" customHeight="1" thickBot="1" x14ac:dyDescent="0.3">
      <c r="A14" s="172"/>
      <c r="B14" s="121">
        <v>8</v>
      </c>
      <c r="C14" s="121" t="s">
        <v>1</v>
      </c>
      <c r="D14" s="56">
        <f>25*8</f>
        <v>200</v>
      </c>
      <c r="E14" s="57">
        <v>647.46</v>
      </c>
      <c r="F14" s="56">
        <f>20*8</f>
        <v>160</v>
      </c>
      <c r="G14" s="57">
        <v>192.63</v>
      </c>
      <c r="H14" s="56"/>
      <c r="I14" s="57">
        <v>144.41</v>
      </c>
      <c r="J14" s="56">
        <f>10*5</f>
        <v>50</v>
      </c>
      <c r="K14" s="57">
        <v>43.44</v>
      </c>
      <c r="L14" s="57">
        <v>56.1</v>
      </c>
      <c r="M14" s="48">
        <f t="shared" si="5"/>
        <v>410</v>
      </c>
      <c r="N14" s="50">
        <f>E14+G14+I14+K14+L14</f>
        <v>1084.04</v>
      </c>
      <c r="O14" s="151">
        <f>(E14+G14+I14+K14+L14)*1100</f>
        <v>1192444</v>
      </c>
      <c r="P14" s="58">
        <v>1100000</v>
      </c>
      <c r="Q14" s="122">
        <f>P14-O14</f>
        <v>-92444</v>
      </c>
      <c r="R14" s="59"/>
      <c r="S14" s="161">
        <f>Q14+R14</f>
        <v>-92444</v>
      </c>
      <c r="T14" s="60" t="s">
        <v>63</v>
      </c>
    </row>
    <row r="15" spans="1:24" ht="15" customHeight="1" x14ac:dyDescent="0.25">
      <c r="A15" s="188" t="s">
        <v>54</v>
      </c>
      <c r="B15" s="108">
        <v>9</v>
      </c>
      <c r="C15" s="143" t="s">
        <v>9</v>
      </c>
      <c r="D15" s="109">
        <f>25*8</f>
        <v>200</v>
      </c>
      <c r="E15" s="110">
        <v>292.02</v>
      </c>
      <c r="F15" s="109">
        <f>15*8</f>
        <v>120</v>
      </c>
      <c r="G15" s="110">
        <v>177.8</v>
      </c>
      <c r="H15" s="109">
        <f>44*8</f>
        <v>352</v>
      </c>
      <c r="I15" s="110">
        <v>137.11000000000001</v>
      </c>
      <c r="J15" s="109">
        <f>15*5</f>
        <v>75</v>
      </c>
      <c r="K15" s="110">
        <v>51.84</v>
      </c>
      <c r="L15" s="110">
        <v>61.54</v>
      </c>
      <c r="M15" s="109">
        <f t="shared" si="5"/>
        <v>747</v>
      </c>
      <c r="N15" s="111">
        <f>E15+G15+I15+K15+L15</f>
        <v>720.31000000000006</v>
      </c>
      <c r="O15" s="152">
        <f t="shared" si="7"/>
        <v>792341.00000000012</v>
      </c>
      <c r="P15" s="112">
        <v>1800000</v>
      </c>
      <c r="Q15" s="113">
        <f t="shared" si="1"/>
        <v>1007658.9999999999</v>
      </c>
      <c r="R15" s="114"/>
      <c r="S15" s="115">
        <f t="shared" si="0"/>
        <v>1007658.9999999999</v>
      </c>
      <c r="T15" s="116" t="s">
        <v>64</v>
      </c>
    </row>
    <row r="16" spans="1:24" ht="14.25" customHeight="1" x14ac:dyDescent="0.25">
      <c r="A16" s="188"/>
      <c r="B16" s="33">
        <v>10</v>
      </c>
      <c r="C16" s="84" t="s">
        <v>55</v>
      </c>
      <c r="D16" s="34">
        <f>20*8</f>
        <v>160</v>
      </c>
      <c r="E16" s="35">
        <v>8.25</v>
      </c>
      <c r="F16" s="34">
        <f>10*8</f>
        <v>80</v>
      </c>
      <c r="G16" s="35"/>
      <c r="H16" s="34">
        <f>25*8</f>
        <v>200</v>
      </c>
      <c r="I16" s="35">
        <v>0.5</v>
      </c>
      <c r="J16" s="34">
        <v>0</v>
      </c>
      <c r="K16" s="35"/>
      <c r="L16" s="35"/>
      <c r="M16" s="109">
        <f t="shared" ref="M16:M17" si="8">D16+F16+H16+J16</f>
        <v>440</v>
      </c>
      <c r="N16" s="111">
        <f t="shared" ref="N16:N17" si="9">E16+G16+I16+K16+L16</f>
        <v>8.75</v>
      </c>
      <c r="O16" s="153">
        <f t="shared" ref="O16" si="10">N16*1100</f>
        <v>9625</v>
      </c>
      <c r="P16" s="36">
        <v>500000</v>
      </c>
      <c r="Q16" s="37">
        <f t="shared" ref="Q16" si="11">P16-O16</f>
        <v>490375</v>
      </c>
      <c r="R16" s="38"/>
      <c r="S16" s="39">
        <f t="shared" si="0"/>
        <v>490375</v>
      </c>
      <c r="T16" s="40"/>
    </row>
    <row r="17" spans="1:22" ht="15.75" thickBot="1" x14ac:dyDescent="0.3">
      <c r="A17" s="188"/>
      <c r="B17" s="84">
        <v>11</v>
      </c>
      <c r="C17" s="84" t="s">
        <v>60</v>
      </c>
      <c r="D17" s="34">
        <f>20*8</f>
        <v>160</v>
      </c>
      <c r="E17" s="35">
        <v>219.04</v>
      </c>
      <c r="F17" s="34">
        <v>0</v>
      </c>
      <c r="G17" s="35"/>
      <c r="H17" s="34">
        <v>0</v>
      </c>
      <c r="I17" s="35"/>
      <c r="J17" s="34">
        <v>0</v>
      </c>
      <c r="K17" s="35"/>
      <c r="L17" s="35"/>
      <c r="M17" s="109">
        <f t="shared" si="8"/>
        <v>160</v>
      </c>
      <c r="N17" s="111">
        <f t="shared" si="9"/>
        <v>219.04</v>
      </c>
      <c r="O17" s="153">
        <f>N17*1100</f>
        <v>240944</v>
      </c>
      <c r="P17" s="36">
        <v>750000</v>
      </c>
      <c r="Q17" s="37">
        <f>P17-O17</f>
        <v>509056</v>
      </c>
      <c r="R17" s="38"/>
      <c r="S17" s="39">
        <f>Q17+R17</f>
        <v>509056</v>
      </c>
      <c r="T17" s="40"/>
      <c r="U17" s="2"/>
      <c r="V17" s="2"/>
    </row>
    <row r="18" spans="1:22" x14ac:dyDescent="0.25">
      <c r="A18" s="167" t="s">
        <v>61</v>
      </c>
      <c r="B18" s="85">
        <v>12</v>
      </c>
      <c r="C18" s="131" t="s">
        <v>5</v>
      </c>
      <c r="D18" s="86">
        <f>27*8</f>
        <v>216</v>
      </c>
      <c r="E18" s="87">
        <v>312.83999999999997</v>
      </c>
      <c r="F18" s="86">
        <f>15*8</f>
        <v>120</v>
      </c>
      <c r="G18" s="87">
        <v>455.27</v>
      </c>
      <c r="H18" s="86">
        <v>0</v>
      </c>
      <c r="I18" s="87">
        <v>384.37</v>
      </c>
      <c r="J18" s="86">
        <f>5*5</f>
        <v>25</v>
      </c>
      <c r="K18" s="87">
        <v>237.37</v>
      </c>
      <c r="L18" s="87">
        <v>75.7</v>
      </c>
      <c r="M18" s="86">
        <f>D18+F18+H18+J18</f>
        <v>361</v>
      </c>
      <c r="N18" s="88">
        <f>E18+G18+I18+K18+L18</f>
        <v>1465.55</v>
      </c>
      <c r="O18" s="154">
        <f t="shared" si="7"/>
        <v>1612105</v>
      </c>
      <c r="P18" s="89">
        <v>1566145.69</v>
      </c>
      <c r="Q18" s="90">
        <f t="shared" ref="Q18:Q27" si="12">P18-O18</f>
        <v>-45959.310000000056</v>
      </c>
      <c r="R18" s="91"/>
      <c r="S18" s="162">
        <f t="shared" si="0"/>
        <v>-45959.310000000056</v>
      </c>
      <c r="T18" s="93" t="s">
        <v>62</v>
      </c>
      <c r="U18" s="2"/>
    </row>
    <row r="19" spans="1:22" x14ac:dyDescent="0.25">
      <c r="A19" s="168"/>
      <c r="B19" s="85">
        <v>13</v>
      </c>
      <c r="C19" s="131" t="s">
        <v>21</v>
      </c>
      <c r="D19" s="86"/>
      <c r="E19" s="87">
        <v>3.68</v>
      </c>
      <c r="F19" s="86"/>
      <c r="G19" s="87">
        <v>12.35</v>
      </c>
      <c r="H19" s="86">
        <v>0</v>
      </c>
      <c r="I19" s="87">
        <v>120.5</v>
      </c>
      <c r="J19" s="86">
        <v>0</v>
      </c>
      <c r="K19" s="87">
        <v>5.68</v>
      </c>
      <c r="L19" s="87"/>
      <c r="M19" s="86">
        <f t="shared" ref="M19:M23" si="13">D19+F19+H19+J19</f>
        <v>0</v>
      </c>
      <c r="N19" s="88">
        <f t="shared" ref="N19:N23" si="14">E19+G19+I19+K19+L19</f>
        <v>142.21</v>
      </c>
      <c r="O19" s="154">
        <f t="shared" si="7"/>
        <v>156431</v>
      </c>
      <c r="P19" s="89">
        <v>656012.81000000006</v>
      </c>
      <c r="Q19" s="90">
        <f t="shared" si="12"/>
        <v>499581.81000000006</v>
      </c>
      <c r="R19" s="91"/>
      <c r="S19" s="92">
        <f t="shared" si="0"/>
        <v>499581.81000000006</v>
      </c>
      <c r="T19" s="93" t="s">
        <v>62</v>
      </c>
      <c r="U19" s="2"/>
    </row>
    <row r="20" spans="1:22" x14ac:dyDescent="0.25">
      <c r="A20" s="168"/>
      <c r="B20" s="85">
        <v>14</v>
      </c>
      <c r="C20" s="131" t="s">
        <v>26</v>
      </c>
      <c r="D20" s="86">
        <f>25*8</f>
        <v>200</v>
      </c>
      <c r="E20" s="87">
        <v>278.16000000000003</v>
      </c>
      <c r="F20" s="86">
        <f>25*8</f>
        <v>200</v>
      </c>
      <c r="G20" s="87">
        <v>187.79</v>
      </c>
      <c r="H20" s="86">
        <f>60*8</f>
        <v>480</v>
      </c>
      <c r="I20" s="87">
        <v>77.680000000000007</v>
      </c>
      <c r="J20" s="86">
        <v>0</v>
      </c>
      <c r="K20" s="87">
        <v>12.59</v>
      </c>
      <c r="L20" s="87"/>
      <c r="M20" s="86">
        <f t="shared" si="13"/>
        <v>880</v>
      </c>
      <c r="N20" s="88">
        <f t="shared" si="14"/>
        <v>556.22000000000014</v>
      </c>
      <c r="O20" s="154">
        <f>N20*1100</f>
        <v>611842.00000000012</v>
      </c>
      <c r="P20" s="89">
        <v>1401000</v>
      </c>
      <c r="Q20" s="90">
        <f t="shared" si="12"/>
        <v>789157.99999999988</v>
      </c>
      <c r="R20" s="91"/>
      <c r="S20" s="92">
        <f t="shared" si="0"/>
        <v>789157.99999999988</v>
      </c>
      <c r="T20" s="93"/>
      <c r="U20" s="2"/>
    </row>
    <row r="21" spans="1:22" x14ac:dyDescent="0.25">
      <c r="A21" s="168"/>
      <c r="B21" s="85">
        <v>15</v>
      </c>
      <c r="C21" s="131" t="s">
        <v>10</v>
      </c>
      <c r="D21" s="86">
        <f>60*8</f>
        <v>480</v>
      </c>
      <c r="E21" s="87">
        <v>980.03</v>
      </c>
      <c r="F21" s="86">
        <f>40*8</f>
        <v>320</v>
      </c>
      <c r="G21" s="87">
        <v>1168.93</v>
      </c>
      <c r="H21" s="86"/>
      <c r="I21" s="87">
        <v>445.01</v>
      </c>
      <c r="J21" s="86">
        <f>4*8</f>
        <v>32</v>
      </c>
      <c r="K21" s="87">
        <v>19.75</v>
      </c>
      <c r="L21" s="87">
        <v>78.05</v>
      </c>
      <c r="M21" s="86">
        <f t="shared" si="13"/>
        <v>832</v>
      </c>
      <c r="N21" s="88">
        <f t="shared" si="14"/>
        <v>2691.7700000000004</v>
      </c>
      <c r="O21" s="154">
        <f t="shared" si="7"/>
        <v>2960947.0000000005</v>
      </c>
      <c r="P21" s="89">
        <v>6630000</v>
      </c>
      <c r="Q21" s="90">
        <f t="shared" si="12"/>
        <v>3669052.9999999995</v>
      </c>
      <c r="R21" s="91"/>
      <c r="S21" s="92">
        <f t="shared" si="0"/>
        <v>3669052.9999999995</v>
      </c>
      <c r="T21" s="93"/>
    </row>
    <row r="22" spans="1:22" x14ac:dyDescent="0.25">
      <c r="A22" s="168"/>
      <c r="B22" s="85">
        <v>16</v>
      </c>
      <c r="C22" s="131" t="s">
        <v>29</v>
      </c>
      <c r="D22" s="86"/>
      <c r="E22" s="87">
        <v>420.63</v>
      </c>
      <c r="F22" s="86"/>
      <c r="G22" s="87">
        <v>177.43</v>
      </c>
      <c r="H22" s="86"/>
      <c r="I22" s="87">
        <v>96.87</v>
      </c>
      <c r="J22" s="86"/>
      <c r="K22" s="87"/>
      <c r="L22" s="87">
        <v>37.22</v>
      </c>
      <c r="M22" s="86">
        <f t="shared" si="13"/>
        <v>0</v>
      </c>
      <c r="N22" s="88">
        <f t="shared" si="14"/>
        <v>732.15</v>
      </c>
      <c r="O22" s="154">
        <f>N22*1100</f>
        <v>805365</v>
      </c>
      <c r="P22" s="89">
        <f>90000*71.2926</f>
        <v>6416333.9999999991</v>
      </c>
      <c r="Q22" s="90">
        <f t="shared" si="12"/>
        <v>5610968.9999999991</v>
      </c>
      <c r="R22" s="91"/>
      <c r="S22" s="92">
        <f t="shared" si="0"/>
        <v>5610968.9999999991</v>
      </c>
      <c r="T22" s="93"/>
    </row>
    <row r="23" spans="1:22" ht="15.75" thickBot="1" x14ac:dyDescent="0.3">
      <c r="A23" s="169"/>
      <c r="B23" s="85">
        <v>17</v>
      </c>
      <c r="C23" s="142" t="s">
        <v>20</v>
      </c>
      <c r="D23" s="94">
        <f>65*8</f>
        <v>520</v>
      </c>
      <c r="E23" s="95">
        <v>296.60000000000002</v>
      </c>
      <c r="F23" s="94">
        <f>63*8</f>
        <v>504</v>
      </c>
      <c r="G23" s="95">
        <v>193.72</v>
      </c>
      <c r="H23" s="94"/>
      <c r="I23" s="95">
        <v>155.11000000000001</v>
      </c>
      <c r="J23" s="94">
        <f>10*8</f>
        <v>80</v>
      </c>
      <c r="K23" s="95">
        <v>16.86</v>
      </c>
      <c r="L23" s="95">
        <v>18.2</v>
      </c>
      <c r="M23" s="86">
        <f t="shared" si="13"/>
        <v>1104</v>
      </c>
      <c r="N23" s="88">
        <f t="shared" si="14"/>
        <v>680.49000000000012</v>
      </c>
      <c r="O23" s="155">
        <f>N23*1100</f>
        <v>748539.00000000012</v>
      </c>
      <c r="P23" s="96">
        <v>6000000</v>
      </c>
      <c r="Q23" s="97">
        <f t="shared" si="12"/>
        <v>5251461</v>
      </c>
      <c r="R23" s="98"/>
      <c r="S23" s="99">
        <f t="shared" si="0"/>
        <v>5251461</v>
      </c>
      <c r="T23" s="100"/>
    </row>
    <row r="24" spans="1:22" x14ac:dyDescent="0.25">
      <c r="A24" s="173" t="s">
        <v>65</v>
      </c>
      <c r="B24" s="47">
        <v>16</v>
      </c>
      <c r="C24" s="117" t="s">
        <v>6</v>
      </c>
      <c r="D24" s="48">
        <f>60*8</f>
        <v>480</v>
      </c>
      <c r="E24" s="49">
        <v>1069.8</v>
      </c>
      <c r="F24" s="48">
        <f>40*8</f>
        <v>320</v>
      </c>
      <c r="G24" s="49">
        <v>275.58999999999997</v>
      </c>
      <c r="H24" s="48"/>
      <c r="I24" s="49">
        <v>146.15</v>
      </c>
      <c r="J24" s="48">
        <f>3*3</f>
        <v>9</v>
      </c>
      <c r="K24" s="49"/>
      <c r="L24" s="49"/>
      <c r="M24" s="48">
        <f>D24+F24+H24+J24</f>
        <v>809</v>
      </c>
      <c r="N24" s="50">
        <f>E24+G24+I24+K24+L24</f>
        <v>1491.54</v>
      </c>
      <c r="O24" s="150">
        <f t="shared" ref="O24:O26" si="15">N24*1100</f>
        <v>1640694</v>
      </c>
      <c r="P24" s="51">
        <f>2052235.5+(37250*71.2926)</f>
        <v>4707884.8499999996</v>
      </c>
      <c r="Q24" s="52">
        <f t="shared" si="12"/>
        <v>3067190.8499999996</v>
      </c>
      <c r="R24" s="53"/>
      <c r="S24" s="54">
        <f t="shared" si="0"/>
        <v>3067190.8499999996</v>
      </c>
      <c r="T24" s="55" t="s">
        <v>24</v>
      </c>
    </row>
    <row r="25" spans="1:22" x14ac:dyDescent="0.25">
      <c r="A25" s="174"/>
      <c r="B25" s="47">
        <v>17</v>
      </c>
      <c r="C25" s="117" t="s">
        <v>7</v>
      </c>
      <c r="D25" s="48">
        <f>45*8</f>
        <v>360</v>
      </c>
      <c r="E25" s="49">
        <v>413.5</v>
      </c>
      <c r="F25" s="48">
        <v>0</v>
      </c>
      <c r="G25" s="49"/>
      <c r="H25" s="48"/>
      <c r="I25" s="49">
        <v>17.43</v>
      </c>
      <c r="J25" s="48">
        <f>4*8</f>
        <v>32</v>
      </c>
      <c r="K25" s="49"/>
      <c r="L25" s="49"/>
      <c r="M25" s="48">
        <f t="shared" ref="M25:M27" si="16">D25+F25+H25+J25</f>
        <v>392</v>
      </c>
      <c r="N25" s="50">
        <f t="shared" ref="N25:N27" si="17">E25+G25+I25+K25+L25</f>
        <v>430.93</v>
      </c>
      <c r="O25" s="150">
        <f t="shared" si="15"/>
        <v>474023</v>
      </c>
      <c r="P25" s="51">
        <v>1800000</v>
      </c>
      <c r="Q25" s="52">
        <f t="shared" si="12"/>
        <v>1325977</v>
      </c>
      <c r="R25" s="53"/>
      <c r="S25" s="54">
        <f t="shared" si="0"/>
        <v>1325977</v>
      </c>
      <c r="T25" s="55" t="s">
        <v>68</v>
      </c>
    </row>
    <row r="26" spans="1:22" x14ac:dyDescent="0.25">
      <c r="A26" s="174"/>
      <c r="B26" s="47">
        <v>12</v>
      </c>
      <c r="C26" s="117" t="s">
        <v>8</v>
      </c>
      <c r="D26" s="48">
        <f>60*8</f>
        <v>480</v>
      </c>
      <c r="E26" s="49">
        <v>435.39</v>
      </c>
      <c r="F26" s="48">
        <v>0</v>
      </c>
      <c r="G26" s="49">
        <v>37</v>
      </c>
      <c r="H26" s="48"/>
      <c r="I26" s="49">
        <v>15.63</v>
      </c>
      <c r="J26" s="48">
        <f>3*8</f>
        <v>24</v>
      </c>
      <c r="K26" s="49"/>
      <c r="L26" s="49"/>
      <c r="M26" s="48">
        <f t="shared" si="16"/>
        <v>504</v>
      </c>
      <c r="N26" s="50">
        <f t="shared" si="17"/>
        <v>488.02</v>
      </c>
      <c r="O26" s="150">
        <f t="shared" si="15"/>
        <v>536822</v>
      </c>
      <c r="P26" s="51">
        <f>2200000+300000+158219</f>
        <v>2658219</v>
      </c>
      <c r="Q26" s="52">
        <f t="shared" si="12"/>
        <v>2121397</v>
      </c>
      <c r="R26" s="53"/>
      <c r="S26" s="54">
        <f t="shared" si="0"/>
        <v>2121397</v>
      </c>
      <c r="T26" s="55" t="s">
        <v>68</v>
      </c>
    </row>
    <row r="27" spans="1:22" ht="15.75" thickBot="1" x14ac:dyDescent="0.3">
      <c r="A27" s="175"/>
      <c r="B27" s="47">
        <v>13</v>
      </c>
      <c r="C27" s="117" t="s">
        <v>30</v>
      </c>
      <c r="D27" s="48">
        <f>30*8</f>
        <v>240</v>
      </c>
      <c r="E27" s="49">
        <v>637.1</v>
      </c>
      <c r="F27" s="48">
        <f>30*8</f>
        <v>240</v>
      </c>
      <c r="G27" s="49">
        <v>15.68</v>
      </c>
      <c r="H27" s="48"/>
      <c r="I27" s="49">
        <v>83.54</v>
      </c>
      <c r="J27" s="48">
        <f>5*8</f>
        <v>40</v>
      </c>
      <c r="K27" s="49"/>
      <c r="L27" s="49"/>
      <c r="M27" s="48">
        <f t="shared" si="16"/>
        <v>520</v>
      </c>
      <c r="N27" s="50">
        <f t="shared" si="17"/>
        <v>736.31999999999994</v>
      </c>
      <c r="O27" s="150">
        <f>N27*1100</f>
        <v>809951.99999999988</v>
      </c>
      <c r="P27" s="51">
        <f>80000*71.2926</f>
        <v>5703407.9999999991</v>
      </c>
      <c r="Q27" s="52">
        <f t="shared" si="12"/>
        <v>4893455.9999999991</v>
      </c>
      <c r="R27" s="53"/>
      <c r="S27" s="54">
        <f t="shared" si="0"/>
        <v>4893455.9999999991</v>
      </c>
      <c r="T27" s="55"/>
    </row>
    <row r="28" spans="1:22" ht="15.75" thickBot="1" x14ac:dyDescent="0.3">
      <c r="A28" s="176" t="s">
        <v>11</v>
      </c>
      <c r="B28" s="28">
        <v>21</v>
      </c>
      <c r="C28" s="28" t="s">
        <v>12</v>
      </c>
      <c r="D28" s="20">
        <f>40*8</f>
        <v>320</v>
      </c>
      <c r="E28" s="21">
        <v>392.72</v>
      </c>
      <c r="F28" s="20">
        <f>30*8</f>
        <v>240</v>
      </c>
      <c r="G28" s="21">
        <v>2</v>
      </c>
      <c r="H28" s="20">
        <v>0</v>
      </c>
      <c r="I28" s="21"/>
      <c r="J28" s="20">
        <f>15*3</f>
        <v>45</v>
      </c>
      <c r="K28" s="21"/>
      <c r="L28" s="21"/>
      <c r="M28" s="20">
        <f>D28+F28+H28+J28</f>
        <v>605</v>
      </c>
      <c r="N28" s="22">
        <f>E28+G28+I28+K28+L28</f>
        <v>394.72</v>
      </c>
      <c r="O28" s="156">
        <f t="shared" ref="O28:O31" si="18">N28*1100</f>
        <v>434192.00000000006</v>
      </c>
      <c r="P28" s="23">
        <v>4000000</v>
      </c>
      <c r="Q28" s="29">
        <f t="shared" ref="Q28:Q32" si="19">P28-O28</f>
        <v>3565808</v>
      </c>
      <c r="R28" s="123"/>
      <c r="S28" s="124">
        <f t="shared" si="0"/>
        <v>3565808</v>
      </c>
      <c r="T28" s="125" t="s">
        <v>24</v>
      </c>
    </row>
    <row r="29" spans="1:22" ht="15.75" thickBot="1" x14ac:dyDescent="0.3">
      <c r="A29" s="177"/>
      <c r="B29" s="7">
        <v>22</v>
      </c>
      <c r="C29" s="7" t="s">
        <v>13</v>
      </c>
      <c r="D29" s="8">
        <f>40*8</f>
        <v>320</v>
      </c>
      <c r="E29" s="9">
        <v>1326.95</v>
      </c>
      <c r="F29" s="8">
        <f>20*8</f>
        <v>160</v>
      </c>
      <c r="G29" s="9">
        <v>445.42</v>
      </c>
      <c r="H29" s="8">
        <f>43*8</f>
        <v>344</v>
      </c>
      <c r="I29" s="9">
        <v>494.78</v>
      </c>
      <c r="J29" s="8">
        <f>(8*8)+8</f>
        <v>72</v>
      </c>
      <c r="K29" s="9">
        <v>70.52</v>
      </c>
      <c r="L29" s="9">
        <v>106.48</v>
      </c>
      <c r="M29" s="20">
        <f t="shared" ref="M29:M33" si="20">D29+F29+H29+J29</f>
        <v>896</v>
      </c>
      <c r="N29" s="22">
        <f t="shared" ref="N29:N33" si="21">E29+G29+I29+K29+L29</f>
        <v>2444.15</v>
      </c>
      <c r="O29" s="157">
        <f t="shared" si="18"/>
        <v>2688565</v>
      </c>
      <c r="P29" s="16">
        <f>1875375+(2877*71.2926)+58000+177200+125000+150000</f>
        <v>2590683.8102000002</v>
      </c>
      <c r="Q29" s="19">
        <f t="shared" si="19"/>
        <v>-97881.189799999818</v>
      </c>
      <c r="R29" s="126"/>
      <c r="S29" s="162">
        <f t="shared" si="0"/>
        <v>-97881.189799999818</v>
      </c>
      <c r="T29" s="128"/>
      <c r="U29" s="2"/>
      <c r="V29" s="2"/>
    </row>
    <row r="30" spans="1:22" ht="15.75" thickBot="1" x14ac:dyDescent="0.3">
      <c r="A30" s="177"/>
      <c r="B30" s="28">
        <v>23</v>
      </c>
      <c r="C30" s="7" t="s">
        <v>23</v>
      </c>
      <c r="D30" s="8">
        <f>25*8</f>
        <v>200</v>
      </c>
      <c r="E30" s="9">
        <v>286.05</v>
      </c>
      <c r="F30" s="8">
        <f t="shared" ref="F30:F31" si="22">20*8</f>
        <v>160</v>
      </c>
      <c r="G30" s="9">
        <v>78.040000000000006</v>
      </c>
      <c r="H30" s="8">
        <f>25*8</f>
        <v>200</v>
      </c>
      <c r="I30" s="9">
        <v>64.930000000000007</v>
      </c>
      <c r="J30" s="8">
        <v>0</v>
      </c>
      <c r="K30" s="9">
        <v>1.5</v>
      </c>
      <c r="L30" s="9">
        <v>22.06</v>
      </c>
      <c r="M30" s="20">
        <f t="shared" si="20"/>
        <v>560</v>
      </c>
      <c r="N30" s="22">
        <f t="shared" si="21"/>
        <v>452.58000000000004</v>
      </c>
      <c r="O30" s="157">
        <f t="shared" si="18"/>
        <v>497838.00000000006</v>
      </c>
      <c r="P30" s="16">
        <v>810000</v>
      </c>
      <c r="Q30" s="19">
        <f t="shared" si="19"/>
        <v>312161.99999999994</v>
      </c>
      <c r="R30" s="126"/>
      <c r="S30" s="127">
        <f t="shared" si="0"/>
        <v>312161.99999999994</v>
      </c>
      <c r="T30" s="128" t="s">
        <v>68</v>
      </c>
      <c r="U30" s="2"/>
      <c r="V30" s="2"/>
    </row>
    <row r="31" spans="1:22" ht="15.75" thickBot="1" x14ac:dyDescent="0.3">
      <c r="A31" s="177"/>
      <c r="B31" s="7">
        <v>24</v>
      </c>
      <c r="C31" s="7" t="s">
        <v>22</v>
      </c>
      <c r="D31" s="8">
        <f>20*8</f>
        <v>160</v>
      </c>
      <c r="E31" s="9">
        <v>141.33000000000001</v>
      </c>
      <c r="F31" s="8">
        <f t="shared" si="22"/>
        <v>160</v>
      </c>
      <c r="G31" s="9">
        <v>37.380000000000003</v>
      </c>
      <c r="H31" s="8">
        <f>20*8</f>
        <v>160</v>
      </c>
      <c r="I31" s="9">
        <v>17.09</v>
      </c>
      <c r="J31" s="8">
        <v>0</v>
      </c>
      <c r="K31" s="9">
        <v>1.5</v>
      </c>
      <c r="L31" s="9">
        <v>5.68</v>
      </c>
      <c r="M31" s="20">
        <f t="shared" si="20"/>
        <v>480</v>
      </c>
      <c r="N31" s="22">
        <f t="shared" si="21"/>
        <v>202.98000000000002</v>
      </c>
      <c r="O31" s="157">
        <f t="shared" si="18"/>
        <v>223278.00000000003</v>
      </c>
      <c r="P31" s="16">
        <v>540000</v>
      </c>
      <c r="Q31" s="19">
        <f t="shared" si="19"/>
        <v>316722</v>
      </c>
      <c r="R31" s="126"/>
      <c r="S31" s="127">
        <f t="shared" si="0"/>
        <v>316722</v>
      </c>
      <c r="T31" s="128" t="s">
        <v>68</v>
      </c>
      <c r="U31" s="2"/>
      <c r="V31" s="2"/>
    </row>
    <row r="32" spans="1:22" ht="15.75" thickBot="1" x14ac:dyDescent="0.3">
      <c r="A32" s="177"/>
      <c r="B32" s="28">
        <v>25</v>
      </c>
      <c r="C32" s="7" t="s">
        <v>27</v>
      </c>
      <c r="D32" s="8">
        <f>32*8</f>
        <v>256</v>
      </c>
      <c r="E32" s="9">
        <v>205.09</v>
      </c>
      <c r="F32" s="8">
        <f>25*8</f>
        <v>200</v>
      </c>
      <c r="G32" s="9"/>
      <c r="H32" s="8">
        <f>4*22*8</f>
        <v>704</v>
      </c>
      <c r="I32" s="9">
        <v>4.34</v>
      </c>
      <c r="J32" s="8">
        <v>0</v>
      </c>
      <c r="K32" s="9">
        <v>16</v>
      </c>
      <c r="L32" s="9"/>
      <c r="M32" s="20">
        <f t="shared" si="20"/>
        <v>1160</v>
      </c>
      <c r="N32" s="22">
        <f t="shared" si="21"/>
        <v>225.43</v>
      </c>
      <c r="O32" s="157">
        <f>N32*1100</f>
        <v>247973</v>
      </c>
      <c r="P32" s="16">
        <v>4500000</v>
      </c>
      <c r="Q32" s="19">
        <f t="shared" si="19"/>
        <v>4252027</v>
      </c>
      <c r="R32" s="126"/>
      <c r="S32" s="127">
        <f t="shared" si="0"/>
        <v>4252027</v>
      </c>
      <c r="T32" s="128"/>
      <c r="U32" s="2"/>
      <c r="V32" s="2"/>
    </row>
    <row r="33" spans="1:22" s="2" customFormat="1" ht="15" customHeight="1" thickBot="1" x14ac:dyDescent="0.3">
      <c r="A33" s="178"/>
      <c r="B33" s="7">
        <v>26</v>
      </c>
      <c r="C33" s="129" t="s">
        <v>17</v>
      </c>
      <c r="D33" s="24">
        <f t="shared" ref="D33" si="23">25*8</f>
        <v>200</v>
      </c>
      <c r="E33" s="25">
        <v>709.82</v>
      </c>
      <c r="F33" s="24">
        <f t="shared" ref="F33" si="24">20*8</f>
        <v>160</v>
      </c>
      <c r="G33" s="25">
        <v>463.93</v>
      </c>
      <c r="H33" s="24">
        <f>20*8</f>
        <v>160</v>
      </c>
      <c r="I33" s="25">
        <v>195.34</v>
      </c>
      <c r="J33" s="24">
        <f>20*5</f>
        <v>100</v>
      </c>
      <c r="K33" s="25">
        <v>40.68</v>
      </c>
      <c r="L33" s="25">
        <v>15.73</v>
      </c>
      <c r="M33" s="20">
        <f t="shared" si="20"/>
        <v>620</v>
      </c>
      <c r="N33" s="22">
        <f t="shared" si="21"/>
        <v>1425.5</v>
      </c>
      <c r="O33" s="158">
        <f>N33*1100</f>
        <v>1568050</v>
      </c>
      <c r="P33" s="26">
        <v>1850000</v>
      </c>
      <c r="Q33" s="27">
        <f>P33-O33</f>
        <v>281950</v>
      </c>
      <c r="R33" s="30"/>
      <c r="S33" s="31">
        <f>Q33+R33</f>
        <v>281950</v>
      </c>
      <c r="T33" s="32" t="s">
        <v>68</v>
      </c>
    </row>
    <row r="34" spans="1:22" x14ac:dyDescent="0.25">
      <c r="A34" s="179"/>
      <c r="B34" s="134">
        <v>27</v>
      </c>
      <c r="C34" s="134" t="s">
        <v>14</v>
      </c>
      <c r="D34" s="135">
        <f>45*8</f>
        <v>360</v>
      </c>
      <c r="E34" s="136">
        <v>394.15</v>
      </c>
      <c r="F34" s="135">
        <f>30*8</f>
        <v>240</v>
      </c>
      <c r="G34" s="136">
        <v>205.99</v>
      </c>
      <c r="H34" s="133">
        <f>20*8</f>
        <v>160</v>
      </c>
      <c r="I34" s="136">
        <v>59.09</v>
      </c>
      <c r="J34" s="135">
        <f>3*8</f>
        <v>24</v>
      </c>
      <c r="K34" s="136">
        <v>46.04</v>
      </c>
      <c r="L34" s="136">
        <v>57.93</v>
      </c>
      <c r="M34" s="135">
        <f>360+240+160+40</f>
        <v>800</v>
      </c>
      <c r="N34" s="137">
        <f>E34+G34+I34+L34+K34</f>
        <v>763.19999999999993</v>
      </c>
      <c r="O34" s="159">
        <f t="shared" ref="O34:O36" si="25">N34*1100</f>
        <v>839519.99999999988</v>
      </c>
      <c r="P34" s="138">
        <v>1500000</v>
      </c>
      <c r="Q34" s="139">
        <f t="shared" ref="Q34:Q37" si="26">P34-O34</f>
        <v>660480.00000000012</v>
      </c>
      <c r="R34" s="140"/>
      <c r="S34" s="141">
        <f t="shared" si="0"/>
        <v>660480.00000000012</v>
      </c>
      <c r="T34" s="140" t="s">
        <v>68</v>
      </c>
      <c r="U34" s="2"/>
      <c r="V34" s="2"/>
    </row>
    <row r="35" spans="1:22" x14ac:dyDescent="0.25">
      <c r="A35" s="179"/>
      <c r="B35" s="132">
        <v>28</v>
      </c>
      <c r="C35" s="134" t="s">
        <v>18</v>
      </c>
      <c r="D35" s="135">
        <f>25*8</f>
        <v>200</v>
      </c>
      <c r="E35" s="136">
        <v>163.15</v>
      </c>
      <c r="F35" s="135">
        <f>20*8</f>
        <v>160</v>
      </c>
      <c r="G35" s="136">
        <v>105.26</v>
      </c>
      <c r="H35" s="133">
        <f>20*8</f>
        <v>160</v>
      </c>
      <c r="I35" s="136">
        <v>57</v>
      </c>
      <c r="J35" s="135">
        <f>5*5</f>
        <v>25</v>
      </c>
      <c r="K35" s="136">
        <v>25.53</v>
      </c>
      <c r="L35" s="136"/>
      <c r="M35" s="135">
        <f>200+160+160+25</f>
        <v>545</v>
      </c>
      <c r="N35" s="137">
        <f t="shared" ref="N35:N40" si="27">E35+G35+I35+K35+L35</f>
        <v>350.94000000000005</v>
      </c>
      <c r="O35" s="159">
        <f t="shared" si="25"/>
        <v>386034.00000000006</v>
      </c>
      <c r="P35" s="138">
        <v>1600000</v>
      </c>
      <c r="Q35" s="139">
        <f t="shared" si="26"/>
        <v>1213966</v>
      </c>
      <c r="R35" s="140"/>
      <c r="S35" s="141">
        <f t="shared" si="0"/>
        <v>1213966</v>
      </c>
      <c r="T35" s="140" t="s">
        <v>68</v>
      </c>
      <c r="U35" s="2"/>
      <c r="V35" s="2"/>
    </row>
    <row r="36" spans="1:22" x14ac:dyDescent="0.25">
      <c r="A36" s="179"/>
      <c r="B36" s="134">
        <v>29</v>
      </c>
      <c r="C36" s="134" t="s">
        <v>15</v>
      </c>
      <c r="D36" s="135">
        <f t="shared" ref="D36" si="28">25*8</f>
        <v>200</v>
      </c>
      <c r="E36" s="136">
        <v>526.75</v>
      </c>
      <c r="F36" s="135">
        <f t="shared" ref="F36" si="29">20*8</f>
        <v>160</v>
      </c>
      <c r="G36" s="136">
        <v>135.25</v>
      </c>
      <c r="H36" s="135"/>
      <c r="I36" s="136">
        <v>110.42</v>
      </c>
      <c r="J36" s="135"/>
      <c r="K36" s="136">
        <v>101.33</v>
      </c>
      <c r="L36" s="136">
        <v>66.05</v>
      </c>
      <c r="M36" s="135">
        <v>560</v>
      </c>
      <c r="N36" s="137">
        <f t="shared" si="27"/>
        <v>939.8</v>
      </c>
      <c r="O36" s="159">
        <f t="shared" si="25"/>
        <v>1033780</v>
      </c>
      <c r="P36" s="138">
        <v>800000</v>
      </c>
      <c r="Q36" s="139">
        <f>P36-O36</f>
        <v>-233780</v>
      </c>
      <c r="R36" s="140"/>
      <c r="S36" s="162">
        <f t="shared" si="0"/>
        <v>-233780</v>
      </c>
      <c r="T36" s="140"/>
      <c r="U36" s="2"/>
      <c r="V36" s="2"/>
    </row>
    <row r="37" spans="1:22" x14ac:dyDescent="0.25">
      <c r="A37" s="179"/>
      <c r="B37" s="132">
        <v>30</v>
      </c>
      <c r="C37" s="134" t="s">
        <v>28</v>
      </c>
      <c r="D37" s="135">
        <f>25*8</f>
        <v>200</v>
      </c>
      <c r="E37" s="136">
        <v>355.79</v>
      </c>
      <c r="F37" s="135">
        <f>20*8</f>
        <v>160</v>
      </c>
      <c r="G37" s="136">
        <v>53.92</v>
      </c>
      <c r="H37" s="135">
        <f>22*8</f>
        <v>176</v>
      </c>
      <c r="I37" s="136">
        <v>11.25</v>
      </c>
      <c r="J37" s="135">
        <f>8*3</f>
        <v>24</v>
      </c>
      <c r="K37" s="136">
        <v>16.46</v>
      </c>
      <c r="L37" s="136"/>
      <c r="M37" s="135"/>
      <c r="N37" s="137">
        <f t="shared" si="27"/>
        <v>437.42</v>
      </c>
      <c r="O37" s="159">
        <f t="shared" ref="O37:O38" si="30">N37*1100</f>
        <v>481162</v>
      </c>
      <c r="P37" s="138">
        <v>3150000</v>
      </c>
      <c r="Q37" s="139">
        <f t="shared" si="26"/>
        <v>2668838</v>
      </c>
      <c r="R37" s="140"/>
      <c r="S37" s="141">
        <f t="shared" si="0"/>
        <v>2668838</v>
      </c>
      <c r="T37" s="140"/>
      <c r="U37" s="2"/>
      <c r="V37" s="2"/>
    </row>
    <row r="38" spans="1:22" x14ac:dyDescent="0.25">
      <c r="A38" s="179"/>
      <c r="B38" s="134">
        <v>31</v>
      </c>
      <c r="C38" s="134" t="s">
        <v>16</v>
      </c>
      <c r="D38" s="135">
        <f>15*8</f>
        <v>120</v>
      </c>
      <c r="E38" s="136">
        <v>171.18</v>
      </c>
      <c r="F38" s="135">
        <f>15*8</f>
        <v>120</v>
      </c>
      <c r="G38" s="136">
        <v>57.64</v>
      </c>
      <c r="H38" s="135">
        <v>0</v>
      </c>
      <c r="I38" s="136">
        <v>35.770000000000003</v>
      </c>
      <c r="J38" s="135">
        <v>0</v>
      </c>
      <c r="K38" s="136">
        <v>45.85</v>
      </c>
      <c r="L38" s="136">
        <v>20.71</v>
      </c>
      <c r="M38" s="135">
        <v>320</v>
      </c>
      <c r="N38" s="137">
        <f t="shared" si="27"/>
        <v>331.15</v>
      </c>
      <c r="O38" s="159">
        <f t="shared" si="30"/>
        <v>364265</v>
      </c>
      <c r="P38" s="138">
        <f>520000+75000+160000+33000</f>
        <v>788000</v>
      </c>
      <c r="Q38" s="139">
        <f>P38-O38</f>
        <v>423735</v>
      </c>
      <c r="R38" s="140"/>
      <c r="S38" s="141">
        <f t="shared" si="0"/>
        <v>423735</v>
      </c>
      <c r="T38" s="140" t="s">
        <v>68</v>
      </c>
      <c r="U38" s="2"/>
      <c r="V38" s="2"/>
    </row>
    <row r="39" spans="1:22" x14ac:dyDescent="0.25">
      <c r="A39" s="179"/>
      <c r="B39" s="132">
        <v>32</v>
      </c>
      <c r="C39" s="134" t="s">
        <v>66</v>
      </c>
      <c r="D39" s="135">
        <f>15*8</f>
        <v>120</v>
      </c>
      <c r="E39" s="136">
        <v>15.69</v>
      </c>
      <c r="F39" s="135">
        <f>15*8</f>
        <v>120</v>
      </c>
      <c r="G39" s="136"/>
      <c r="H39" s="135">
        <f>30*8</f>
        <v>240</v>
      </c>
      <c r="I39" s="136">
        <v>1</v>
      </c>
      <c r="J39" s="135">
        <v>0</v>
      </c>
      <c r="K39" s="136">
        <v>4.51</v>
      </c>
      <c r="L39" s="136"/>
      <c r="M39" s="135"/>
      <c r="N39" s="137">
        <f t="shared" si="27"/>
        <v>21.199999999999996</v>
      </c>
      <c r="O39" s="159">
        <f t="shared" ref="O39:O40" si="31">N39*1100</f>
        <v>23319.999999999996</v>
      </c>
      <c r="P39" s="138">
        <f>350000+30000</f>
        <v>380000</v>
      </c>
      <c r="Q39" s="139">
        <f t="shared" ref="Q39:Q40" si="32">P39-O39</f>
        <v>356680</v>
      </c>
      <c r="R39" s="140"/>
      <c r="S39" s="141">
        <f t="shared" ref="S39:S40" si="33">Q39+R39</f>
        <v>356680</v>
      </c>
      <c r="T39" s="140" t="s">
        <v>69</v>
      </c>
      <c r="U39" s="2"/>
      <c r="V39" s="2"/>
    </row>
    <row r="40" spans="1:22" x14ac:dyDescent="0.25">
      <c r="A40" s="180"/>
      <c r="B40" s="134">
        <v>33</v>
      </c>
      <c r="C40" s="134" t="s">
        <v>67</v>
      </c>
      <c r="D40" s="135">
        <f>30*8</f>
        <v>240</v>
      </c>
      <c r="E40" s="136">
        <v>8.18</v>
      </c>
      <c r="F40" s="135">
        <f>21*8</f>
        <v>168</v>
      </c>
      <c r="G40" s="136"/>
      <c r="H40" s="133">
        <v>0</v>
      </c>
      <c r="I40" s="136"/>
      <c r="J40" s="135">
        <f>5*3</f>
        <v>15</v>
      </c>
      <c r="K40" s="136"/>
      <c r="L40" s="136"/>
      <c r="M40" s="135">
        <f>360+240+160+40</f>
        <v>800</v>
      </c>
      <c r="N40" s="137">
        <f t="shared" si="27"/>
        <v>8.18</v>
      </c>
      <c r="O40" s="159">
        <f t="shared" si="31"/>
        <v>8998</v>
      </c>
      <c r="P40" s="138">
        <v>2400000</v>
      </c>
      <c r="Q40" s="139">
        <f t="shared" si="32"/>
        <v>2391002</v>
      </c>
      <c r="R40" s="140"/>
      <c r="S40" s="141">
        <f t="shared" si="33"/>
        <v>2391002</v>
      </c>
      <c r="T40" s="140"/>
      <c r="U40" s="2"/>
      <c r="V40" s="2"/>
    </row>
    <row r="41" spans="1:22" x14ac:dyDescent="0.25">
      <c r="A41" s="130"/>
      <c r="B41" s="5"/>
      <c r="C41" s="10"/>
      <c r="D41" s="10"/>
      <c r="E41" s="12"/>
      <c r="F41" s="4"/>
      <c r="G41" s="6"/>
      <c r="H41" s="4"/>
      <c r="I41" s="6"/>
      <c r="J41" s="4"/>
      <c r="K41" s="6"/>
      <c r="L41" s="6"/>
      <c r="M41" s="4"/>
      <c r="N41" s="4"/>
      <c r="O41" s="4"/>
      <c r="P41" s="17"/>
      <c r="Q41" s="14"/>
      <c r="R41" s="2"/>
      <c r="S41" s="2"/>
      <c r="T41" s="2"/>
      <c r="U41" s="2"/>
      <c r="V41" s="2"/>
    </row>
  </sheetData>
  <mergeCells count="27">
    <mergeCell ref="R1:R2"/>
    <mergeCell ref="T1:T2"/>
    <mergeCell ref="S1:S2"/>
    <mergeCell ref="A3:A10"/>
    <mergeCell ref="A15:A17"/>
    <mergeCell ref="A1:A2"/>
    <mergeCell ref="B1:B2"/>
    <mergeCell ref="P1:P2"/>
    <mergeCell ref="Q1:Q2"/>
    <mergeCell ref="M1:N1"/>
    <mergeCell ref="C1:C2"/>
    <mergeCell ref="D1:D2"/>
    <mergeCell ref="E1:E2"/>
    <mergeCell ref="F1:F2"/>
    <mergeCell ref="G1:G2"/>
    <mergeCell ref="H4:H7"/>
    <mergeCell ref="A18:A23"/>
    <mergeCell ref="A11:A14"/>
    <mergeCell ref="A24:A27"/>
    <mergeCell ref="A28:A33"/>
    <mergeCell ref="A34:A40"/>
    <mergeCell ref="K1:K2"/>
    <mergeCell ref="L1:L2"/>
    <mergeCell ref="O1:O2"/>
    <mergeCell ref="H1:H2"/>
    <mergeCell ref="I1:I2"/>
    <mergeCell ref="J1:J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2016-09-09T12:23:23Z</dcterms:modified>
</cp:coreProperties>
</file>