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updateLinks="always" defaultThemeVersion="164011"/>
  <bookViews>
    <workbookView xWindow="0" yWindow="0" windowWidth="28800" windowHeight="12000"/>
  </bookViews>
  <sheets>
    <sheet name="Сделка" sheetId="4" r:id="rId1"/>
    <sheet name="1С Продажи-Сделка" sheetId="1" r:id="rId2"/>
    <sheet name="1С Колеровка" sheetId="6" r:id="rId3"/>
    <sheet name="Бонусы-Группы" sheetId="2" r:id="rId4"/>
  </sheets>
  <definedNames>
    <definedName name="_xlnm._FilterDatabase" localSheetId="2" hidden="1">'1С Колеровка'!$A$3:$B$3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49" i="4" l="1"/>
  <c r="D32" i="4" l="1"/>
  <c r="C32" i="4"/>
  <c r="D29" i="4"/>
  <c r="D28" i="4"/>
  <c r="D77" i="4"/>
  <c r="D78" i="4"/>
  <c r="I6" i="4" l="1"/>
  <c r="D149" i="4" l="1"/>
  <c r="G7" i="4"/>
  <c r="G11" i="4"/>
  <c r="G12" i="4"/>
  <c r="G14" i="4"/>
  <c r="F150" i="4"/>
  <c r="G6" i="4" s="1"/>
  <c r="F151" i="4"/>
  <c r="G10" i="4" s="1"/>
  <c r="F152" i="4"/>
  <c r="G8" i="4" s="1"/>
  <c r="F153" i="4"/>
  <c r="G13" i="4" s="1"/>
  <c r="F154" i="4"/>
  <c r="G154" i="4" s="1"/>
  <c r="G9" i="4" s="1"/>
  <c r="D150" i="4"/>
  <c r="D151" i="4"/>
  <c r="D152" i="4"/>
  <c r="D154" i="4"/>
  <c r="D153" i="4"/>
  <c r="C164" i="4"/>
  <c r="B164" i="4"/>
  <c r="B155" i="4"/>
  <c r="D107" i="1"/>
  <c r="D88" i="1"/>
  <c r="D58" i="1"/>
  <c r="D50" i="1"/>
  <c r="D28" i="1"/>
  <c r="D5" i="1"/>
  <c r="D41" i="1"/>
  <c r="D10" i="1"/>
  <c r="D6" i="1"/>
  <c r="D7" i="1"/>
  <c r="D8" i="1"/>
  <c r="D9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9" i="1"/>
  <c r="D30" i="1"/>
  <c r="D31" i="1"/>
  <c r="D32" i="1"/>
  <c r="D33" i="1"/>
  <c r="D34" i="1"/>
  <c r="D35" i="1"/>
  <c r="D36" i="1"/>
  <c r="D37" i="1"/>
  <c r="D38" i="1"/>
  <c r="D39" i="1"/>
  <c r="D40" i="1"/>
  <c r="D42" i="1"/>
  <c r="D43" i="1"/>
  <c r="D44" i="1"/>
  <c r="D45" i="1"/>
  <c r="D46" i="1"/>
  <c r="D47" i="1"/>
  <c r="D48" i="1"/>
  <c r="D49" i="1"/>
  <c r="D51" i="1"/>
  <c r="D52" i="1"/>
  <c r="D53" i="1"/>
  <c r="D54" i="1"/>
  <c r="D55" i="1"/>
  <c r="D56" i="1"/>
  <c r="D57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8" i="1"/>
  <c r="D109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D107" i="4"/>
  <c r="D101" i="4"/>
  <c r="D96" i="4"/>
  <c r="C23" i="4" l="1"/>
  <c r="C24" i="4"/>
  <c r="C22" i="4"/>
  <c r="D45" i="4"/>
  <c r="E75" i="4"/>
  <c r="E90" i="4"/>
  <c r="C5" i="1"/>
  <c r="E91" i="4"/>
  <c r="D54" i="4" l="1"/>
  <c r="I8" i="4"/>
  <c r="D48" i="4"/>
  <c r="D49" i="4"/>
  <c r="D51" i="4"/>
  <c r="D53" i="4"/>
  <c r="D46" i="4"/>
  <c r="D47" i="4"/>
  <c r="D52" i="4"/>
  <c r="E70" i="4"/>
  <c r="E76" i="4"/>
  <c r="E77" i="4"/>
  <c r="E78" i="4"/>
  <c r="E79" i="4"/>
  <c r="E80" i="4"/>
  <c r="E81" i="4"/>
  <c r="E82" i="4"/>
  <c r="E83" i="4"/>
  <c r="E62" i="4"/>
  <c r="E63" i="4"/>
  <c r="E64" i="4"/>
  <c r="E65" i="4"/>
  <c r="E66" i="4"/>
  <c r="E67" i="4"/>
  <c r="E68" i="4"/>
  <c r="E69" i="4"/>
  <c r="E61" i="4"/>
  <c r="E89" i="4"/>
  <c r="I11" i="4" l="1"/>
  <c r="I10" i="4"/>
  <c r="I13" i="4"/>
  <c r="D50" i="4"/>
  <c r="I15" i="4" l="1"/>
  <c r="F65" i="4"/>
  <c r="F66" i="4"/>
  <c r="F67" i="4"/>
  <c r="G67" i="4" s="1"/>
  <c r="F68" i="4"/>
  <c r="F69" i="4"/>
  <c r="F70" i="4"/>
  <c r="F75" i="4"/>
  <c r="E12" i="4" l="1"/>
  <c r="F64" i="4"/>
  <c r="D76" i="4"/>
  <c r="D79" i="4"/>
  <c r="D80" i="4"/>
  <c r="D81" i="4"/>
  <c r="D82" i="4"/>
  <c r="D83" i="4"/>
  <c r="F63" i="4"/>
  <c r="G63" i="4" s="1"/>
  <c r="F78" i="4" l="1"/>
  <c r="G78" i="4" s="1"/>
  <c r="E11" i="4" s="1"/>
  <c r="G64" i="4"/>
  <c r="D12" i="4" s="1"/>
  <c r="G65" i="4"/>
  <c r="D13" i="4" s="1"/>
  <c r="F77" i="4"/>
  <c r="G77" i="4" s="1"/>
  <c r="E13" i="4" s="1"/>
  <c r="F76" i="4"/>
  <c r="G76" i="4" s="1"/>
  <c r="E84" i="4"/>
  <c r="F83" i="4" l="1"/>
  <c r="G83" i="4" s="1"/>
  <c r="E14" i="4" s="1"/>
  <c r="F82" i="4"/>
  <c r="G82" i="4" s="1"/>
  <c r="E10" i="4" s="1"/>
  <c r="G70" i="4" l="1"/>
  <c r="D14" i="4" s="1"/>
  <c r="G69" i="4"/>
  <c r="D10" i="4" s="1"/>
  <c r="C29" i="4" l="1"/>
  <c r="C31" i="4"/>
  <c r="E71" i="4"/>
  <c r="C30" i="4"/>
  <c r="C28" i="4" l="1"/>
  <c r="D55" i="4" l="1"/>
  <c r="G68" i="4" l="1"/>
  <c r="D9" i="4" s="1"/>
  <c r="D11" i="4" l="1"/>
  <c r="F79" i="4"/>
  <c r="F62" i="4"/>
  <c r="G62" i="4" s="1"/>
  <c r="F80" i="4"/>
  <c r="D6" i="4" l="1"/>
  <c r="D31" i="4"/>
  <c r="G66" i="4" l="1"/>
  <c r="D8" i="4" s="1"/>
  <c r="C25" i="4"/>
  <c r="F61" i="4"/>
  <c r="G61" i="4" s="1"/>
  <c r="D7" i="4" s="1"/>
  <c r="G75" i="4" l="1"/>
  <c r="E7" i="4" s="1"/>
  <c r="C33" i="4"/>
  <c r="D30" i="4"/>
  <c r="G80" i="4"/>
  <c r="E8" i="4" s="1"/>
  <c r="F81" i="4"/>
  <c r="G81" i="4" s="1"/>
  <c r="E9" i="4" s="1"/>
  <c r="G79" i="4"/>
  <c r="E6" i="4" s="1"/>
  <c r="D33" i="4" l="1"/>
  <c r="F91" i="4" l="1"/>
  <c r="G91" i="4" s="1"/>
  <c r="F90" i="4"/>
  <c r="G90" i="4" s="1"/>
  <c r="F7" i="4" s="1"/>
  <c r="F89" i="4"/>
  <c r="G89" i="4" s="1"/>
  <c r="F6" i="4" s="1"/>
  <c r="H6" i="4" s="1"/>
  <c r="H7" i="4" l="1"/>
  <c r="J7" i="4" s="1"/>
  <c r="F11" i="4"/>
  <c r="F8" i="4"/>
  <c r="F12" i="4"/>
  <c r="F14" i="4"/>
  <c r="F9" i="4"/>
  <c r="F13" i="4"/>
  <c r="J6" i="4"/>
  <c r="F10" i="4"/>
  <c r="H9" i="4" l="1"/>
  <c r="J9" i="4" s="1"/>
  <c r="H12" i="4"/>
  <c r="J12" i="4" s="1"/>
  <c r="H13" i="4"/>
  <c r="J13" i="4" s="1"/>
  <c r="H8" i="4"/>
  <c r="H11" i="4"/>
  <c r="J11" i="4" s="1"/>
  <c r="H10" i="4"/>
  <c r="J10" i="4" s="1"/>
  <c r="H14" i="4"/>
  <c r="J14" i="4" s="1"/>
  <c r="H15" i="4" l="1"/>
  <c r="J8" i="4"/>
  <c r="J15" i="4" s="1"/>
</calcChain>
</file>

<file path=xl/sharedStrings.xml><?xml version="1.0" encoding="utf-8"?>
<sst xmlns="http://schemas.openxmlformats.org/spreadsheetml/2006/main" count="493" uniqueCount="237">
  <si>
    <t>Ответственный</t>
  </si>
  <si>
    <t>Итого</t>
  </si>
  <si>
    <t>Номенклатура</t>
  </si>
  <si>
    <t>Сумма</t>
  </si>
  <si>
    <t>Тиккурила Пейнтс</t>
  </si>
  <si>
    <t>Краски</t>
  </si>
  <si>
    <t>Ручные инструменты</t>
  </si>
  <si>
    <t>Антисептики</t>
  </si>
  <si>
    <t>Лаки</t>
  </si>
  <si>
    <t>Финнколор</t>
  </si>
  <si>
    <t>Краска</t>
  </si>
  <si>
    <t>Продавец 1</t>
  </si>
  <si>
    <t>Анза</t>
  </si>
  <si>
    <t>Пигмент</t>
  </si>
  <si>
    <t>Пирилакс</t>
  </si>
  <si>
    <t>Текс</t>
  </si>
  <si>
    <t>Тиккурила Коутингс</t>
  </si>
  <si>
    <t>Дерево</t>
  </si>
  <si>
    <t>Шпаклевки</t>
  </si>
  <si>
    <t>Металл</t>
  </si>
  <si>
    <t>Отвердители</t>
  </si>
  <si>
    <t>Грунтовки</t>
  </si>
  <si>
    <t>Харрис</t>
  </si>
  <si>
    <t>Цвета НОВЫЕ</t>
  </si>
  <si>
    <t>Продавец 3</t>
  </si>
  <si>
    <t>Продавец 6</t>
  </si>
  <si>
    <t>Общестроительные материалы</t>
  </si>
  <si>
    <t>ПродавецИнтернетМагазин</t>
  </si>
  <si>
    <t>Товарные группы и процент бонуса:</t>
  </si>
  <si>
    <t>Анза-4%</t>
  </si>
  <si>
    <t>Финнколор и серия Евро</t>
  </si>
  <si>
    <t>Сента и стеклообразно выведены из ассортимента</t>
  </si>
  <si>
    <t>Цвета новые и загруженные а так же пигмент 2-%</t>
  </si>
  <si>
    <t>Пена, герметики</t>
  </si>
  <si>
    <t>Инструмент Харрис</t>
  </si>
  <si>
    <t>Инструмент Китай</t>
  </si>
  <si>
    <t>Цвета загруженные</t>
  </si>
  <si>
    <t>Цвета новые</t>
  </si>
  <si>
    <t>Сента</t>
  </si>
  <si>
    <t>Стеклообои</t>
  </si>
  <si>
    <t>Названия из 1С</t>
  </si>
  <si>
    <t>(СКЛАД Журналистов)</t>
  </si>
  <si>
    <t>Склад (ОСТРОВСКОГО)</t>
  </si>
  <si>
    <t>Склад (Сибгата Хакима)</t>
  </si>
  <si>
    <t>план</t>
  </si>
  <si>
    <t>Факт</t>
  </si>
  <si>
    <t>План</t>
  </si>
  <si>
    <t>План магазина</t>
  </si>
  <si>
    <t>Выполнение</t>
  </si>
  <si>
    <t>План личный (ТО сопутка)</t>
  </si>
  <si>
    <t>Например, Ленару в ЭП попадают продажи с Островского во время замещения Айзата.</t>
  </si>
  <si>
    <t>Например, Айзату в ЭП попадают отгрузки ИМ с других магазинов.</t>
  </si>
  <si>
    <t>*В ЭП попадают все продажи продавца, не зависимо от склада отгрузки.</t>
  </si>
  <si>
    <t>Эталонная Премия</t>
  </si>
  <si>
    <t>ТО магазина</t>
  </si>
  <si>
    <t>*В выполнение Личного плана входят продажи в любом магазине</t>
  </si>
  <si>
    <t>*В выполнение плана Магазина входят только продажи, имеющие отношение к данному магазину</t>
  </si>
  <si>
    <t>Выполнение
&lt;</t>
  </si>
  <si>
    <t>Выполнение
&gt;</t>
  </si>
  <si>
    <t>ЭП</t>
  </si>
  <si>
    <t>План личный (ТО весь товар)</t>
  </si>
  <si>
    <t>КП</t>
  </si>
  <si>
    <t>Выполнение личного плана продаж по сопутствующим товарам</t>
  </si>
  <si>
    <t>Выполнение личного плана продаж</t>
  </si>
  <si>
    <t>Выполнение плана магазина</t>
  </si>
  <si>
    <t>Расчет сдельной премии по продавцам</t>
  </si>
  <si>
    <t>ИТОГО</t>
  </si>
  <si>
    <t>сумма</t>
  </si>
  <si>
    <t>Колеровка ОПТовых покупателей</t>
  </si>
  <si>
    <t>РОЗНИЦА:</t>
  </si>
  <si>
    <t>ОПТ:</t>
  </si>
  <si>
    <t>Распредение колеровки на менеджеров</t>
  </si>
  <si>
    <t>ИТОГО
РОЗНИЦА</t>
  </si>
  <si>
    <t>Колеровка
ОПТ</t>
  </si>
  <si>
    <t>РАСЧЕТ  СДЕЛЬНОЙ  ПРЕМИИ  ПРОДАВЦОВ</t>
  </si>
  <si>
    <t>Буранов Тимур</t>
  </si>
  <si>
    <t>Мавлюдов Айзат</t>
  </si>
  <si>
    <t>Продавец 9</t>
  </si>
  <si>
    <t>Вес ключевого показателя в премии сотрудника</t>
  </si>
  <si>
    <t>Бонус</t>
  </si>
  <si>
    <t>КП 1</t>
  </si>
  <si>
    <t>КП 2</t>
  </si>
  <si>
    <t>КП 3</t>
  </si>
  <si>
    <t>КП1 (личный план)</t>
  </si>
  <si>
    <t>КП2 (план по сопутке)</t>
  </si>
  <si>
    <t>КП3 (план магазина)</t>
  </si>
  <si>
    <t>Склад</t>
  </si>
  <si>
    <t>ТО сопутка</t>
  </si>
  <si>
    <t>Растворители</t>
  </si>
  <si>
    <t>Бренделев Степан</t>
  </si>
  <si>
    <t>Y498 TVT</t>
  </si>
  <si>
    <t>RAL 7038</t>
  </si>
  <si>
    <t>RAL 1013</t>
  </si>
  <si>
    <t>RAL 6019</t>
  </si>
  <si>
    <t>RAL 9003</t>
  </si>
  <si>
    <t>RAL 2011</t>
  </si>
  <si>
    <t>Продавец 5</t>
  </si>
  <si>
    <t>Менеджер</t>
  </si>
  <si>
    <t>5077 TVT</t>
  </si>
  <si>
    <t>Козырев Константин</t>
  </si>
  <si>
    <t xml:space="preserve">Ахметов Тимур </t>
  </si>
  <si>
    <t>Ахметов Тимур</t>
  </si>
  <si>
    <t xml:space="preserve">Козырев Константин </t>
  </si>
  <si>
    <t>Директор1</t>
  </si>
  <si>
    <t>Продавец 7</t>
  </si>
  <si>
    <t>Универсал серия</t>
  </si>
  <si>
    <t>Оптима серия</t>
  </si>
  <si>
    <t>RAL 2004</t>
  </si>
  <si>
    <t>RAL 7024</t>
  </si>
  <si>
    <t>3466 TVT</t>
  </si>
  <si>
    <t>RAL 9005</t>
  </si>
  <si>
    <t>Офис Менеджер 1</t>
  </si>
  <si>
    <t>2665 TVT</t>
  </si>
  <si>
    <t>RAL 7047</t>
  </si>
  <si>
    <t>Проф серия</t>
  </si>
  <si>
    <t>5051 TVT</t>
  </si>
  <si>
    <t>5063 TVT</t>
  </si>
  <si>
    <t>5076 TVT</t>
  </si>
  <si>
    <t>RAL 7005</t>
  </si>
  <si>
    <t>RAL 7022</t>
  </si>
  <si>
    <t>RAL 8017</t>
  </si>
  <si>
    <t>RAL 9010</t>
  </si>
  <si>
    <t>RAL 7035</t>
  </si>
  <si>
    <t>Кол-во продавцов, чел.</t>
  </si>
  <si>
    <t>H409 TVT</t>
  </si>
  <si>
    <t>RAL 1015</t>
  </si>
  <si>
    <t>RAL 1016</t>
  </si>
  <si>
    <t>RAL 1017</t>
  </si>
  <si>
    <t>RAL 2000</t>
  </si>
  <si>
    <t>RAL 4005</t>
  </si>
  <si>
    <t>RAL 7040</t>
  </si>
  <si>
    <t>3437 TVT</t>
  </si>
  <si>
    <t>613X</t>
  </si>
  <si>
    <t>G499 TVT</t>
  </si>
  <si>
    <t>F497 TVT</t>
  </si>
  <si>
    <t>RAL 9016</t>
  </si>
  <si>
    <t>TVT 4918</t>
  </si>
  <si>
    <t>2671 TVT</t>
  </si>
  <si>
    <t>4844 TVT</t>
  </si>
  <si>
    <t>5061 TVT</t>
  </si>
  <si>
    <t>5072 TVT</t>
  </si>
  <si>
    <t>531X</t>
  </si>
  <si>
    <t>CAPA Ginster 60</t>
  </si>
  <si>
    <t>CAPA Marill 90</t>
  </si>
  <si>
    <t>CAPA Onyx 110</t>
  </si>
  <si>
    <t>CAPA Siena 85</t>
  </si>
  <si>
    <t>DX 90YR 57/293</t>
  </si>
  <si>
    <t>F486 TVT</t>
  </si>
  <si>
    <t>F496 TVT</t>
  </si>
  <si>
    <t xml:space="preserve">G405 TVT </t>
  </si>
  <si>
    <t>G482 TVT</t>
  </si>
  <si>
    <t>H380 TVT</t>
  </si>
  <si>
    <t xml:space="preserve">H480 TVT </t>
  </si>
  <si>
    <t>J310 TVT</t>
  </si>
  <si>
    <t>L351 TVT</t>
  </si>
  <si>
    <t>L465 TVT</t>
  </si>
  <si>
    <t>M323 TVT</t>
  </si>
  <si>
    <t>RAL 1021</t>
  </si>
  <si>
    <t>RAL 6034</t>
  </si>
  <si>
    <t>RAL 7000</t>
  </si>
  <si>
    <t>RAL 7012</t>
  </si>
  <si>
    <t>RAL 9004</t>
  </si>
  <si>
    <t>Siena 85 CAPA</t>
  </si>
  <si>
    <t>TVT J359</t>
  </si>
  <si>
    <t>TVT S312</t>
  </si>
  <si>
    <t>TVT X491</t>
  </si>
  <si>
    <t>Y157 TVT</t>
  </si>
  <si>
    <t>Y399 TVT</t>
  </si>
  <si>
    <t>Y406 TVT</t>
  </si>
  <si>
    <t>J487 TVT</t>
  </si>
  <si>
    <t>K487 TVT</t>
  </si>
  <si>
    <t>L487 TVT</t>
  </si>
  <si>
    <t>N487 TVT</t>
  </si>
  <si>
    <t>RAL 3020</t>
  </si>
  <si>
    <t>TVT N459</t>
  </si>
  <si>
    <t>TVT S441</t>
  </si>
  <si>
    <t>2690 TVT</t>
  </si>
  <si>
    <t>3443 TVT</t>
  </si>
  <si>
    <t>3453 TVT</t>
  </si>
  <si>
    <t>4939 TVT</t>
  </si>
  <si>
    <t>4989 TVT</t>
  </si>
  <si>
    <t>5060 TVT</t>
  </si>
  <si>
    <t>608X</t>
  </si>
  <si>
    <t>CAPA Coelin 90</t>
  </si>
  <si>
    <t>CAPA Jade 30</t>
  </si>
  <si>
    <t>CAPA Samt-Weiss</t>
  </si>
  <si>
    <t>DX 30BB 10/337</t>
  </si>
  <si>
    <t>F393 TVT</t>
  </si>
  <si>
    <t>G421 TVT</t>
  </si>
  <si>
    <t>G445 TVT</t>
  </si>
  <si>
    <t>G470 TVT</t>
  </si>
  <si>
    <t>G487 TVT</t>
  </si>
  <si>
    <t>G488 TVT</t>
  </si>
  <si>
    <t>H359 TVT</t>
  </si>
  <si>
    <t>H470 TVT</t>
  </si>
  <si>
    <t>H483 TVT</t>
  </si>
  <si>
    <t>J366 TVT</t>
  </si>
  <si>
    <t>J445 TVT</t>
  </si>
  <si>
    <t>K030 TVT</t>
  </si>
  <si>
    <t>K052 TVT</t>
  </si>
  <si>
    <t>K445 TVT</t>
  </si>
  <si>
    <t>K488 TVT</t>
  </si>
  <si>
    <t>K499 TVT</t>
  </si>
  <si>
    <t>N325 TVT</t>
  </si>
  <si>
    <t>N327 TVT</t>
  </si>
  <si>
    <t>N499 TVT</t>
  </si>
  <si>
    <t>NCS S 1560-R90B</t>
  </si>
  <si>
    <t>RAL 1004</t>
  </si>
  <si>
    <t>RAL 3015</t>
  </si>
  <si>
    <t>RAL 6011</t>
  </si>
  <si>
    <t>RAL 6018</t>
  </si>
  <si>
    <t>RAL 8022</t>
  </si>
  <si>
    <t>RAL 9001</t>
  </si>
  <si>
    <t>RR 32</t>
  </si>
  <si>
    <t>TVT 3153</t>
  </si>
  <si>
    <t>TVT F429</t>
  </si>
  <si>
    <t>TVT H444</t>
  </si>
  <si>
    <t>V498 TVT</t>
  </si>
  <si>
    <t>X395 TVT</t>
  </si>
  <si>
    <t>X467 TVT</t>
  </si>
  <si>
    <t>X498 TVT</t>
  </si>
  <si>
    <t>Y058 TVT</t>
  </si>
  <si>
    <t>Y319 TVT</t>
  </si>
  <si>
    <t>Средний чек</t>
  </si>
  <si>
    <t>кол-во чеков ,шт</t>
  </si>
  <si>
    <t>Сумма, RUB</t>
  </si>
  <si>
    <t>чек на возврат</t>
  </si>
  <si>
    <t>продажа</t>
  </si>
  <si>
    <t>КП 4</t>
  </si>
  <si>
    <t>КП4 (средний чек)</t>
  </si>
  <si>
    <t>июль 2019г.</t>
  </si>
  <si>
    <t>Хафизов Тимур</t>
  </si>
  <si>
    <t>Расчет сделки за июль 2019 г.</t>
  </si>
  <si>
    <t>должно быть</t>
  </si>
  <si>
    <t>кп3 и кп4 верные</t>
  </si>
  <si>
    <t>данные верные так как у Тимура Х план выполнен на 9%</t>
  </si>
  <si>
    <t>расхождения из-за возвратов в расчете факт, суммы с учетом возврата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</si>
</sst>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name val="Arial"/>
      <family val="2"/>
    </font>
    <font>
      <sz val="8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i/>
      <sz val="8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10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sz val="12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theme="1"/>
      <name val="Calibri"/>
      <family val="2"/>
      <charset val="204"/>
      <scheme val="minor"/>
    </font>
    <font>
      <sz val="8"/>
      <color indexed="8"/>
      <name val="Arial"/>
      <family val="2"/>
    </font>
    <font>
      <sz val="11"/>
      <color indexed="8"/>
      <name val="Calibri"/>
      <family val="2"/>
      <charset val="204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  <border>
      <left/>
      <right style="thin">
        <color indexed="64"/>
      </right>
      <top/>
      <bottom/>
      <diagonal/>
    </border>
  </borders>
  <cellStyleXfs count="10">
    <xf numFmtId="0" fontId="0" fillId="0" borderId="0"/>
    <xf numFmtId="9" fontId="10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</cellStyleXfs>
  <cellXfs count="176">
    <xf numFmtId="0" fontId="0" fillId="0" borderId="0" xfId="0"/>
    <xf numFmtId="0" fontId="15" fillId="0" borderId="0" xfId="2" applyFont="1" applyAlignment="1">
      <alignment horizontal="justify" vertical="center"/>
    </xf>
    <xf numFmtId="0" fontId="14" fillId="0" borderId="0" xfId="2"/>
    <xf numFmtId="0" fontId="16" fillId="0" borderId="0" xfId="2" applyFont="1" applyAlignment="1">
      <alignment horizontal="justify" vertical="center"/>
    </xf>
    <xf numFmtId="0" fontId="17" fillId="0" borderId="0" xfId="2" applyFont="1" applyAlignment="1">
      <alignment horizontal="left" vertical="center" wrapText="1"/>
    </xf>
    <xf numFmtId="0" fontId="0" fillId="0" borderId="2" xfId="0" applyBorder="1"/>
    <xf numFmtId="9" fontId="0" fillId="0" borderId="2" xfId="1" applyFont="1" applyBorder="1"/>
    <xf numFmtId="4" fontId="0" fillId="0" borderId="0" xfId="0" applyNumberFormat="1"/>
    <xf numFmtId="0" fontId="11" fillId="3" borderId="2" xfId="0" applyFont="1" applyFill="1" applyBorder="1" applyAlignment="1">
      <alignment horizontal="center" vertical="top"/>
    </xf>
    <xf numFmtId="0" fontId="11" fillId="3" borderId="2" xfId="0" applyFont="1" applyFill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21" fillId="0" borderId="2" xfId="0" applyFont="1" applyBorder="1" applyAlignment="1">
      <alignment horizontal="justify" vertical="center" wrapText="1"/>
    </xf>
    <xf numFmtId="0" fontId="21" fillId="0" borderId="2" xfId="0" applyFont="1" applyBorder="1" applyAlignment="1">
      <alignment horizontal="center" vertical="center" wrapText="1"/>
    </xf>
    <xf numFmtId="9" fontId="0" fillId="0" borderId="2" xfId="0" applyNumberFormat="1" applyBorder="1"/>
    <xf numFmtId="0" fontId="18" fillId="0" borderId="0" xfId="0" applyFont="1"/>
    <xf numFmtId="0" fontId="16" fillId="0" borderId="2" xfId="2" applyFont="1" applyBorder="1" applyAlignment="1">
      <alignment horizontal="justify" vertical="center"/>
    </xf>
    <xf numFmtId="0" fontId="14" fillId="0" borderId="2" xfId="2" applyBorder="1"/>
    <xf numFmtId="164" fontId="14" fillId="0" borderId="2" xfId="2" applyNumberFormat="1" applyBorder="1"/>
    <xf numFmtId="0" fontId="0" fillId="0" borderId="2" xfId="0" applyBorder="1" applyAlignment="1">
      <alignment vertical="top" wrapText="1"/>
    </xf>
    <xf numFmtId="4" fontId="11" fillId="0" borderId="0" xfId="0" applyNumberFormat="1" applyFont="1"/>
    <xf numFmtId="0" fontId="11" fillId="5" borderId="0" xfId="0" applyFont="1" applyFill="1"/>
    <xf numFmtId="0" fontId="0" fillId="5" borderId="0" xfId="0" applyFill="1"/>
    <xf numFmtId="0" fontId="11" fillId="0" borderId="0" xfId="0" applyFont="1"/>
    <xf numFmtId="4" fontId="20" fillId="0" borderId="0" xfId="0" applyNumberFormat="1" applyFont="1"/>
    <xf numFmtId="0" fontId="12" fillId="0" borderId="2" xfId="5" applyBorder="1" applyAlignment="1">
      <alignment vertical="top" wrapText="1"/>
    </xf>
    <xf numFmtId="0" fontId="22" fillId="0" borderId="7" xfId="0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1" fillId="0" borderId="12" xfId="0" applyFont="1" applyBorder="1"/>
    <xf numFmtId="0" fontId="0" fillId="0" borderId="13" xfId="0" applyBorder="1"/>
    <xf numFmtId="4" fontId="0" fillId="0" borderId="13" xfId="0" applyNumberFormat="1" applyBorder="1"/>
    <xf numFmtId="4" fontId="11" fillId="0" borderId="13" xfId="0" applyNumberFormat="1" applyFont="1" applyBorder="1"/>
    <xf numFmtId="0" fontId="0" fillId="0" borderId="3" xfId="0" applyBorder="1"/>
    <xf numFmtId="0" fontId="9" fillId="0" borderId="0" xfId="0" applyFont="1"/>
    <xf numFmtId="9" fontId="18" fillId="0" borderId="2" xfId="1" applyFont="1" applyBorder="1"/>
    <xf numFmtId="0" fontId="20" fillId="0" borderId="0" xfId="0" applyFont="1"/>
    <xf numFmtId="0" fontId="12" fillId="0" borderId="0" xfId="6"/>
    <xf numFmtId="1" fontId="0" fillId="0" borderId="0" xfId="0" applyNumberFormat="1"/>
    <xf numFmtId="0" fontId="24" fillId="0" borderId="0" xfId="0" applyFont="1" applyAlignment="1">
      <alignment horizontal="center" vertical="top"/>
    </xf>
    <xf numFmtId="0" fontId="25" fillId="6" borderId="14" xfId="0" applyFont="1" applyFill="1" applyBorder="1" applyAlignment="1">
      <alignment horizontal="left" vertical="top" wrapText="1" indent="1"/>
    </xf>
    <xf numFmtId="0" fontId="8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center"/>
    </xf>
    <xf numFmtId="0" fontId="8" fillId="4" borderId="2" xfId="0" applyFont="1" applyFill="1" applyBorder="1"/>
    <xf numFmtId="0" fontId="8" fillId="4" borderId="2" xfId="0" applyFont="1" applyFill="1" applyBorder="1" applyAlignment="1">
      <alignment horizontal="left" vertical="top"/>
    </xf>
    <xf numFmtId="9" fontId="9" fillId="0" borderId="2" xfId="0" applyNumberFormat="1" applyFont="1" applyBorder="1" applyAlignment="1">
      <alignment horizontal="right" vertical="top" wrapText="1"/>
    </xf>
    <xf numFmtId="0" fontId="23" fillId="0" borderId="2" xfId="0" applyFont="1" applyBorder="1" applyAlignment="1">
      <alignment horizontal="center"/>
    </xf>
    <xf numFmtId="0" fontId="23" fillId="0" borderId="2" xfId="0" applyFont="1" applyBorder="1" applyAlignment="1">
      <alignment horizontal="center" vertical="center"/>
    </xf>
    <xf numFmtId="3" fontId="18" fillId="0" borderId="2" xfId="0" applyNumberFormat="1" applyFont="1" applyBorder="1"/>
    <xf numFmtId="3" fontId="0" fillId="0" borderId="0" xfId="0" applyNumberFormat="1"/>
    <xf numFmtId="3" fontId="18" fillId="0" borderId="0" xfId="0" applyNumberFormat="1" applyFont="1"/>
    <xf numFmtId="3" fontId="27" fillId="0" borderId="0" xfId="0" applyNumberFormat="1" applyFont="1"/>
    <xf numFmtId="0" fontId="28" fillId="0" borderId="0" xfId="0" applyFont="1"/>
    <xf numFmtId="0" fontId="29" fillId="0" borderId="0" xfId="0" applyFont="1"/>
    <xf numFmtId="0" fontId="6" fillId="0" borderId="2" xfId="0" applyFont="1" applyBorder="1"/>
    <xf numFmtId="3" fontId="6" fillId="0" borderId="2" xfId="0" applyNumberFormat="1" applyFont="1" applyBorder="1"/>
    <xf numFmtId="0" fontId="6" fillId="0" borderId="2" xfId="0" applyFont="1" applyBorder="1" applyAlignment="1">
      <alignment horizontal="left"/>
    </xf>
    <xf numFmtId="0" fontId="30" fillId="0" borderId="0" xfId="0" applyFont="1"/>
    <xf numFmtId="164" fontId="30" fillId="0" borderId="2" xfId="1" applyNumberFormat="1" applyFont="1" applyBorder="1"/>
    <xf numFmtId="0" fontId="31" fillId="0" borderId="0" xfId="0" applyFont="1"/>
    <xf numFmtId="1" fontId="30" fillId="0" borderId="0" xfId="0" applyNumberFormat="1" applyFont="1"/>
    <xf numFmtId="0" fontId="32" fillId="0" borderId="0" xfId="0" applyFont="1"/>
    <xf numFmtId="1" fontId="32" fillId="0" borderId="0" xfId="0" applyNumberFormat="1" applyFont="1" applyAlignment="1">
      <alignment horizontal="right" vertical="top" wrapText="1"/>
    </xf>
    <xf numFmtId="9" fontId="32" fillId="0" borderId="0" xfId="1" applyFont="1"/>
    <xf numFmtId="0" fontId="33" fillId="0" borderId="0" xfId="0" applyFont="1" applyAlignment="1">
      <alignment horizontal="center"/>
    </xf>
    <xf numFmtId="3" fontId="8" fillId="4" borderId="0" xfId="0" applyNumberFormat="1" applyFont="1" applyFill="1"/>
    <xf numFmtId="9" fontId="9" fillId="0" borderId="0" xfId="0" applyNumberFormat="1" applyFont="1" applyAlignment="1">
      <alignment horizontal="right" vertical="top" wrapText="1"/>
    </xf>
    <xf numFmtId="0" fontId="26" fillId="0" borderId="0" xfId="0" applyFont="1" applyAlignment="1">
      <alignment horizontal="center" vertical="center"/>
    </xf>
    <xf numFmtId="0" fontId="5" fillId="4" borderId="0" xfId="0" applyFont="1" applyFill="1"/>
    <xf numFmtId="0" fontId="5" fillId="4" borderId="2" xfId="0" applyFont="1" applyFill="1" applyBorder="1"/>
    <xf numFmtId="0" fontId="7" fillId="4" borderId="0" xfId="0" applyFont="1" applyFill="1"/>
    <xf numFmtId="0" fontId="5" fillId="0" borderId="2" xfId="0" applyFont="1" applyBorder="1"/>
    <xf numFmtId="0" fontId="4" fillId="0" borderId="2" xfId="0" applyFont="1" applyBorder="1"/>
    <xf numFmtId="0" fontId="11" fillId="8" borderId="2" xfId="0" applyFont="1" applyFill="1" applyBorder="1" applyAlignment="1">
      <alignment horizontal="left" vertical="top"/>
    </xf>
    <xf numFmtId="164" fontId="19" fillId="8" borderId="1" xfId="1" applyNumberFormat="1" applyFont="1" applyFill="1" applyBorder="1" applyAlignment="1">
      <alignment horizontal="center" vertical="top" wrapText="1"/>
    </xf>
    <xf numFmtId="0" fontId="0" fillId="8" borderId="2" xfId="0" applyFill="1" applyBorder="1"/>
    <xf numFmtId="4" fontId="0" fillId="8" borderId="2" xfId="0" applyNumberFormat="1" applyFill="1" applyBorder="1"/>
    <xf numFmtId="0" fontId="0" fillId="8" borderId="0" xfId="0" applyFill="1"/>
    <xf numFmtId="4" fontId="18" fillId="8" borderId="0" xfId="0" applyNumberFormat="1" applyFont="1" applyFill="1"/>
    <xf numFmtId="0" fontId="29" fillId="0" borderId="0" xfId="0" applyFont="1" applyFill="1"/>
    <xf numFmtId="1" fontId="30" fillId="0" borderId="2" xfId="0" applyNumberFormat="1" applyFont="1" applyFill="1" applyBorder="1"/>
    <xf numFmtId="0" fontId="3" fillId="0" borderId="2" xfId="0" applyFont="1" applyBorder="1" applyAlignment="1">
      <alignment horizontal="left" vertical="top" wrapText="1"/>
    </xf>
    <xf numFmtId="0" fontId="3" fillId="4" borderId="2" xfId="0" applyFont="1" applyFill="1" applyBorder="1"/>
    <xf numFmtId="4" fontId="0" fillId="9" borderId="2" xfId="0" applyNumberFormat="1" applyFill="1" applyBorder="1"/>
    <xf numFmtId="4" fontId="20" fillId="9" borderId="0" xfId="0" applyNumberFormat="1" applyFont="1" applyFill="1"/>
    <xf numFmtId="3" fontId="0" fillId="10" borderId="2" xfId="0" applyNumberFormat="1" applyFill="1" applyBorder="1"/>
    <xf numFmtId="0" fontId="13" fillId="2" borderId="1" xfId="8" applyNumberFormat="1" applyFont="1" applyFill="1" applyBorder="1" applyAlignment="1">
      <alignment vertical="top" wrapText="1"/>
    </xf>
    <xf numFmtId="0" fontId="13" fillId="2" borderId="1" xfId="8" applyNumberFormat="1" applyFont="1" applyFill="1" applyBorder="1" applyAlignment="1">
      <alignment vertical="top"/>
    </xf>
    <xf numFmtId="0" fontId="12" fillId="7" borderId="1" xfId="8" applyNumberFormat="1" applyFont="1" applyFill="1" applyBorder="1" applyAlignment="1">
      <alignment vertical="top" wrapText="1"/>
    </xf>
    <xf numFmtId="4" fontId="12" fillId="7" borderId="1" xfId="8" applyNumberFormat="1" applyFont="1" applyFill="1" applyBorder="1" applyAlignment="1">
      <alignment horizontal="right" vertical="top"/>
    </xf>
    <xf numFmtId="0" fontId="12" fillId="0" borderId="1" xfId="8" applyNumberFormat="1" applyFont="1" applyBorder="1" applyAlignment="1">
      <alignment vertical="top" wrapText="1" indent="4"/>
    </xf>
    <xf numFmtId="4" fontId="12" fillId="0" borderId="1" xfId="8" applyNumberFormat="1" applyFont="1" applyBorder="1" applyAlignment="1">
      <alignment horizontal="right" vertical="top"/>
    </xf>
    <xf numFmtId="0" fontId="12" fillId="0" borderId="1" xfId="8" applyNumberFormat="1" applyFont="1" applyBorder="1" applyAlignment="1">
      <alignment vertical="top" wrapText="1" indent="6"/>
    </xf>
    <xf numFmtId="2" fontId="12" fillId="0" borderId="1" xfId="8" applyNumberFormat="1" applyFont="1" applyBorder="1" applyAlignment="1">
      <alignment horizontal="right" vertical="top"/>
    </xf>
    <xf numFmtId="0" fontId="12" fillId="0" borderId="1" xfId="8" applyNumberFormat="1" applyFont="1" applyBorder="1" applyAlignment="1">
      <alignment vertical="top" wrapText="1" indent="8"/>
    </xf>
    <xf numFmtId="1" fontId="30" fillId="11" borderId="2" xfId="0" applyNumberFormat="1" applyFont="1" applyFill="1" applyBorder="1"/>
    <xf numFmtId="0" fontId="13" fillId="2" borderId="1" xfId="9" applyNumberFormat="1" applyFont="1" applyFill="1" applyBorder="1" applyAlignment="1">
      <alignment vertical="top" wrapText="1"/>
    </xf>
    <xf numFmtId="0" fontId="13" fillId="2" borderId="1" xfId="9" applyNumberFormat="1" applyFont="1" applyFill="1" applyBorder="1" applyAlignment="1">
      <alignment vertical="top"/>
    </xf>
    <xf numFmtId="0" fontId="12" fillId="7" borderId="1" xfId="9" applyNumberFormat="1" applyFont="1" applyFill="1" applyBorder="1" applyAlignment="1">
      <alignment vertical="top" wrapText="1"/>
    </xf>
    <xf numFmtId="4" fontId="12" fillId="7" borderId="1" xfId="9" applyNumberFormat="1" applyFont="1" applyFill="1" applyBorder="1" applyAlignment="1">
      <alignment horizontal="right" vertical="top"/>
    </xf>
    <xf numFmtId="0" fontId="12" fillId="0" borderId="1" xfId="9" applyNumberFormat="1" applyFont="1" applyBorder="1" applyAlignment="1">
      <alignment vertical="top" wrapText="1" indent="2"/>
    </xf>
    <xf numFmtId="4" fontId="12" fillId="0" borderId="1" xfId="9" applyNumberFormat="1" applyFont="1" applyBorder="1" applyAlignment="1">
      <alignment horizontal="right" vertical="top"/>
    </xf>
    <xf numFmtId="4" fontId="13" fillId="2" borderId="1" xfId="9" applyNumberFormat="1" applyFont="1" applyFill="1" applyBorder="1" applyAlignment="1">
      <alignment horizontal="right" vertical="top"/>
    </xf>
    <xf numFmtId="1" fontId="9" fillId="10" borderId="2" xfId="0" applyNumberFormat="1" applyFont="1" applyFill="1" applyBorder="1" applyAlignment="1">
      <alignment horizontal="right" vertical="top" wrapText="1"/>
    </xf>
    <xf numFmtId="0" fontId="2" fillId="0" borderId="2" xfId="0" applyFont="1" applyBorder="1"/>
    <xf numFmtId="0" fontId="2" fillId="4" borderId="2" xfId="0" applyFont="1" applyFill="1" applyBorder="1"/>
    <xf numFmtId="3" fontId="0" fillId="11" borderId="2" xfId="0" applyNumberFormat="1" applyFill="1" applyBorder="1"/>
    <xf numFmtId="1" fontId="9" fillId="11" borderId="2" xfId="0" applyNumberFormat="1" applyFont="1" applyFill="1" applyBorder="1" applyAlignment="1">
      <alignment horizontal="right" vertical="top" wrapText="1"/>
    </xf>
    <xf numFmtId="0" fontId="11" fillId="3" borderId="2" xfId="0" applyFont="1" applyFill="1" applyBorder="1" applyAlignment="1">
      <alignment horizontal="left" vertical="top" wrapText="1"/>
    </xf>
    <xf numFmtId="4" fontId="0" fillId="0" borderId="0" xfId="0" applyNumberFormat="1" applyAlignment="1">
      <alignment wrapText="1"/>
    </xf>
    <xf numFmtId="0" fontId="0" fillId="0" borderId="0" xfId="0" applyFill="1"/>
    <xf numFmtId="0" fontId="12" fillId="0" borderId="1" xfId="7" applyNumberFormat="1" applyFont="1" applyFill="1" applyBorder="1" applyAlignment="1">
      <alignment vertical="top" wrapText="1" indent="2"/>
    </xf>
    <xf numFmtId="4" fontId="12" fillId="0" borderId="1" xfId="7" applyNumberFormat="1" applyFont="1" applyFill="1" applyBorder="1" applyAlignment="1">
      <alignment horizontal="right" vertical="top"/>
    </xf>
    <xf numFmtId="3" fontId="12" fillId="0" borderId="1" xfId="7" applyNumberFormat="1" applyFont="1" applyFill="1" applyBorder="1" applyAlignment="1">
      <alignment horizontal="right" vertical="top"/>
    </xf>
    <xf numFmtId="0" fontId="13" fillId="0" borderId="1" xfId="7" applyNumberFormat="1" applyFont="1" applyFill="1" applyBorder="1" applyAlignment="1">
      <alignment vertical="top"/>
    </xf>
    <xf numFmtId="165" fontId="13" fillId="0" borderId="1" xfId="7" applyNumberFormat="1" applyFont="1" applyFill="1" applyBorder="1" applyAlignment="1">
      <alignment horizontal="right" vertical="top"/>
    </xf>
    <xf numFmtId="4" fontId="13" fillId="2" borderId="1" xfId="8" applyNumberFormat="1" applyFont="1" applyFill="1" applyBorder="1" applyAlignment="1">
      <alignment horizontal="right" vertical="top"/>
    </xf>
    <xf numFmtId="2" fontId="12" fillId="0" borderId="1" xfId="9" applyNumberFormat="1" applyFont="1" applyBorder="1" applyAlignment="1">
      <alignment horizontal="right" vertical="top"/>
    </xf>
    <xf numFmtId="0" fontId="13" fillId="5" borderId="1" xfId="7" applyNumberFormat="1" applyFont="1" applyFill="1" applyBorder="1" applyAlignment="1">
      <alignment vertical="top" wrapText="1"/>
    </xf>
    <xf numFmtId="0" fontId="13" fillId="5" borderId="1" xfId="7" applyNumberFormat="1" applyFont="1" applyFill="1" applyBorder="1" applyAlignment="1">
      <alignment vertical="top"/>
    </xf>
    <xf numFmtId="0" fontId="12" fillId="5" borderId="1" xfId="7" applyNumberFormat="1" applyFont="1" applyFill="1" applyBorder="1" applyAlignment="1">
      <alignment vertical="top" wrapText="1"/>
    </xf>
    <xf numFmtId="4" fontId="12" fillId="5" borderId="1" xfId="7" applyNumberFormat="1" applyFont="1" applyFill="1" applyBorder="1" applyAlignment="1">
      <alignment horizontal="right" vertical="top"/>
    </xf>
    <xf numFmtId="4" fontId="12" fillId="5" borderId="0" xfId="4" applyNumberFormat="1" applyFill="1" applyAlignment="1">
      <alignment horizontal="right" vertical="top"/>
    </xf>
    <xf numFmtId="0" fontId="12" fillId="5" borderId="1" xfId="7" applyNumberFormat="1" applyFont="1" applyFill="1" applyBorder="1" applyAlignment="1">
      <alignment vertical="top" wrapText="1" indent="2"/>
    </xf>
    <xf numFmtId="165" fontId="12" fillId="5" borderId="1" xfId="7" applyNumberFormat="1" applyFont="1" applyFill="1" applyBorder="1" applyAlignment="1">
      <alignment horizontal="right" vertical="top"/>
    </xf>
    <xf numFmtId="3" fontId="12" fillId="5" borderId="1" xfId="7" applyNumberFormat="1" applyFont="1" applyFill="1" applyBorder="1" applyAlignment="1">
      <alignment horizontal="right" vertical="top"/>
    </xf>
    <xf numFmtId="4" fontId="0" fillId="5" borderId="0" xfId="0" applyNumberFormat="1" applyFill="1"/>
    <xf numFmtId="165" fontId="13" fillId="5" borderId="1" xfId="7" applyNumberFormat="1" applyFont="1" applyFill="1" applyBorder="1" applyAlignment="1">
      <alignment horizontal="right" vertical="top"/>
    </xf>
    <xf numFmtId="0" fontId="19" fillId="5" borderId="0" xfId="4" applyFont="1" applyFill="1" applyAlignment="1">
      <alignment horizontal="center" vertical="top" wrapText="1"/>
    </xf>
    <xf numFmtId="0" fontId="12" fillId="5" borderId="1" xfId="7" applyNumberFormat="1" applyFont="1" applyFill="1" applyBorder="1" applyAlignment="1">
      <alignment vertical="top" wrapText="1" indent="4"/>
    </xf>
    <xf numFmtId="2" fontId="12" fillId="5" borderId="1" xfId="7" applyNumberFormat="1" applyFont="1" applyFill="1" applyBorder="1" applyAlignment="1">
      <alignment horizontal="right" vertical="top"/>
    </xf>
    <xf numFmtId="4" fontId="13" fillId="5" borderId="1" xfId="7" applyNumberFormat="1" applyFont="1" applyFill="1" applyBorder="1" applyAlignment="1">
      <alignment horizontal="right" vertical="top"/>
    </xf>
    <xf numFmtId="3" fontId="9" fillId="5" borderId="2" xfId="0" applyNumberFormat="1" applyFont="1" applyFill="1" applyBorder="1" applyAlignment="1">
      <alignment horizontal="right" vertical="top" wrapText="1"/>
    </xf>
    <xf numFmtId="3" fontId="32" fillId="5" borderId="0" xfId="0" applyNumberFormat="1" applyFont="1" applyFill="1" applyAlignment="1">
      <alignment horizontal="right" vertical="top" wrapText="1"/>
    </xf>
    <xf numFmtId="3" fontId="0" fillId="5" borderId="2" xfId="0" applyNumberFormat="1" applyFill="1" applyBorder="1"/>
    <xf numFmtId="3" fontId="23" fillId="5" borderId="2" xfId="0" applyNumberFormat="1" applyFont="1" applyFill="1" applyBorder="1" applyAlignment="1">
      <alignment horizontal="right" vertical="top" wrapText="1"/>
    </xf>
    <xf numFmtId="3" fontId="20" fillId="5" borderId="0" xfId="0" applyNumberFormat="1" applyFont="1" applyFill="1" applyAlignment="1">
      <alignment horizontal="right" vertical="top" wrapText="1"/>
    </xf>
    <xf numFmtId="1" fontId="30" fillId="5" borderId="2" xfId="0" applyNumberFormat="1" applyFont="1" applyFill="1" applyBorder="1"/>
    <xf numFmtId="3" fontId="8" fillId="5" borderId="2" xfId="0" applyNumberFormat="1" applyFont="1" applyFill="1" applyBorder="1"/>
    <xf numFmtId="3" fontId="34" fillId="5" borderId="0" xfId="0" applyNumberFormat="1" applyFont="1" applyFill="1"/>
    <xf numFmtId="2" fontId="0" fillId="0" borderId="0" xfId="0" applyNumberFormat="1"/>
    <xf numFmtId="0" fontId="35" fillId="12" borderId="1" xfId="7" applyNumberFormat="1" applyFont="1" applyFill="1" applyBorder="1" applyAlignment="1">
      <alignment horizontal="left" vertical="top"/>
    </xf>
    <xf numFmtId="4" fontId="35" fillId="12" borderId="1" xfId="7" applyNumberFormat="1" applyFont="1" applyFill="1" applyBorder="1" applyAlignment="1">
      <alignment horizontal="right" vertical="top"/>
    </xf>
    <xf numFmtId="1" fontId="35" fillId="12" borderId="1" xfId="7" applyNumberFormat="1" applyFont="1" applyFill="1" applyBorder="1" applyAlignment="1">
      <alignment horizontal="right" vertical="top"/>
    </xf>
    <xf numFmtId="0" fontId="35" fillId="5" borderId="1" xfId="7" applyNumberFormat="1" applyFont="1" applyFill="1" applyBorder="1" applyAlignment="1">
      <alignment horizontal="left" vertical="top"/>
    </xf>
    <xf numFmtId="4" fontId="35" fillId="5" borderId="1" xfId="7" applyNumberFormat="1" applyFont="1" applyFill="1" applyBorder="1" applyAlignment="1">
      <alignment horizontal="right" vertical="top"/>
    </xf>
    <xf numFmtId="1" fontId="35" fillId="5" borderId="1" xfId="7" applyNumberFormat="1" applyFont="1" applyFill="1" applyBorder="1" applyAlignment="1">
      <alignment horizontal="right" vertical="top"/>
    </xf>
    <xf numFmtId="3" fontId="35" fillId="5" borderId="1" xfId="7" applyNumberFormat="1" applyFont="1" applyFill="1" applyBorder="1" applyAlignment="1">
      <alignment horizontal="right" vertical="top"/>
    </xf>
    <xf numFmtId="0" fontId="36" fillId="0" borderId="0" xfId="7" applyNumberFormat="1" applyFont="1" applyFill="1" applyBorder="1" applyAlignment="1">
      <alignment horizontal="left" vertical="top"/>
    </xf>
    <xf numFmtId="10" fontId="0" fillId="0" borderId="0" xfId="0" applyNumberFormat="1"/>
    <xf numFmtId="9" fontId="0" fillId="0" borderId="15" xfId="0" applyNumberFormat="1" applyFill="1" applyBorder="1"/>
    <xf numFmtId="0" fontId="0" fillId="0" borderId="15" xfId="0" applyFill="1" applyBorder="1" applyAlignment="1">
      <alignment vertical="top" wrapText="1"/>
    </xf>
    <xf numFmtId="3" fontId="18" fillId="5" borderId="2" xfId="0" applyNumberFormat="1" applyFont="1" applyFill="1" applyBorder="1"/>
    <xf numFmtId="3" fontId="6" fillId="5" borderId="2" xfId="0" applyNumberFormat="1" applyFont="1" applyFill="1" applyBorder="1"/>
    <xf numFmtId="0" fontId="11" fillId="13" borderId="2" xfId="0" applyFont="1" applyFill="1" applyBorder="1" applyAlignment="1">
      <alignment horizontal="left" vertical="top"/>
    </xf>
    <xf numFmtId="0" fontId="11" fillId="13" borderId="2" xfId="0" applyFont="1" applyFill="1" applyBorder="1" applyAlignment="1">
      <alignment horizontal="center" vertical="top"/>
    </xf>
    <xf numFmtId="0" fontId="11" fillId="13" borderId="2" xfId="0" applyFont="1" applyFill="1" applyBorder="1" applyAlignment="1">
      <alignment horizontal="center" vertical="top" wrapText="1"/>
    </xf>
    <xf numFmtId="0" fontId="11" fillId="13" borderId="2" xfId="0" applyFont="1" applyFill="1" applyBorder="1" applyAlignment="1">
      <alignment vertical="top" wrapText="1"/>
    </xf>
    <xf numFmtId="164" fontId="19" fillId="13" borderId="2" xfId="1" applyNumberFormat="1" applyFont="1" applyFill="1" applyBorder="1" applyAlignment="1">
      <alignment horizontal="center" vertical="top" wrapText="1"/>
    </xf>
    <xf numFmtId="0" fontId="0" fillId="5" borderId="2" xfId="0" applyFill="1" applyBorder="1"/>
    <xf numFmtId="0" fontId="11" fillId="13" borderId="2" xfId="0" applyFont="1" applyFill="1" applyBorder="1" applyAlignment="1">
      <alignment wrapText="1"/>
    </xf>
    <xf numFmtId="0" fontId="1" fillId="4" borderId="2" xfId="0" applyFont="1" applyFill="1" applyBorder="1"/>
    <xf numFmtId="0" fontId="1" fillId="0" borderId="2" xfId="0" applyFont="1" applyBorder="1"/>
    <xf numFmtId="0" fontId="1" fillId="0" borderId="2" xfId="0" applyFont="1" applyBorder="1" applyAlignment="1">
      <alignment horizontal="left" vertical="top" wrapText="1"/>
    </xf>
    <xf numFmtId="0" fontId="0" fillId="11" borderId="0" xfId="0" applyFill="1"/>
    <xf numFmtId="0" fontId="6" fillId="11" borderId="2" xfId="0" applyFont="1" applyFill="1" applyBorder="1"/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9" fillId="5" borderId="0" xfId="4" applyFont="1" applyFill="1" applyAlignment="1">
      <alignment horizontal="center" vertical="top" wrapText="1"/>
    </xf>
    <xf numFmtId="0" fontId="31" fillId="0" borderId="2" xfId="0" applyFont="1" applyBorder="1"/>
    <xf numFmtId="0" fontId="30" fillId="0" borderId="2" xfId="0" applyFont="1" applyBorder="1"/>
    <xf numFmtId="0" fontId="30" fillId="0" borderId="2" xfId="0" applyFont="1" applyFill="1" applyBorder="1"/>
    <xf numFmtId="4" fontId="35" fillId="11" borderId="1" xfId="7" applyNumberFormat="1" applyFont="1" applyFill="1" applyBorder="1" applyAlignment="1">
      <alignment horizontal="right" vertical="top"/>
    </xf>
  </cellXfs>
  <cellStyles count="10">
    <cellStyle name="Normal_1С Колеровка" xfId="9"/>
    <cellStyle name="Normal_1С Продажи-Сделка" xfId="8"/>
    <cellStyle name="Normal_Сделка" xfId="7"/>
    <cellStyle name="Обычный" xfId="0" builtinId="0"/>
    <cellStyle name="Обычный 2" xfId="2"/>
    <cellStyle name="Обычный_1С Колеровка" xfId="6"/>
    <cellStyle name="Обычный_Лист4" xfId="4"/>
    <cellStyle name="Обычный_Лист6" xfId="5"/>
    <cellStyle name="Процентный" xfId="1" builtinId="5"/>
    <cellStyle name="Процентн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4"/>
  <sheetViews>
    <sheetView tabSelected="1" workbookViewId="0">
      <selection activeCell="E130" sqref="E130"/>
    </sheetView>
  </sheetViews>
  <sheetFormatPr defaultRowHeight="15" x14ac:dyDescent="0.25"/>
  <cols>
    <col min="1" max="1" width="22.85546875" bestFit="1" customWidth="1"/>
    <col min="2" max="3" width="33.42578125" customWidth="1"/>
    <col min="4" max="4" width="13" customWidth="1"/>
    <col min="5" max="5" width="13.5703125" customWidth="1"/>
    <col min="6" max="6" width="12.85546875" customWidth="1"/>
    <col min="7" max="8" width="13.5703125" bestFit="1" customWidth="1"/>
    <col min="9" max="9" width="10.42578125" bestFit="1" customWidth="1"/>
    <col min="12" max="12" width="14.28515625" bestFit="1" customWidth="1"/>
  </cols>
  <sheetData>
    <row r="1" spans="1:12" ht="15.75" thickBot="1" x14ac:dyDescent="0.3"/>
    <row r="2" spans="1:12" ht="23.25" x14ac:dyDescent="0.35">
      <c r="A2" s="25" t="s">
        <v>74</v>
      </c>
      <c r="B2" s="26"/>
      <c r="C2" s="26"/>
      <c r="D2" s="26"/>
      <c r="E2" s="26"/>
      <c r="F2" s="26"/>
      <c r="G2" s="26"/>
      <c r="H2" s="26"/>
      <c r="I2" s="27"/>
    </row>
    <row r="3" spans="1:12" x14ac:dyDescent="0.25">
      <c r="A3" s="28" t="s">
        <v>230</v>
      </c>
      <c r="I3" s="29"/>
    </row>
    <row r="4" spans="1:12" x14ac:dyDescent="0.25">
      <c r="A4" s="28"/>
      <c r="I4" s="29"/>
    </row>
    <row r="5" spans="1:12" ht="38.25" x14ac:dyDescent="0.25">
      <c r="A5" s="155" t="s">
        <v>86</v>
      </c>
      <c r="B5" s="155" t="s">
        <v>65</v>
      </c>
      <c r="C5" s="156"/>
      <c r="D5" s="157" t="s">
        <v>83</v>
      </c>
      <c r="E5" s="158" t="s">
        <v>84</v>
      </c>
      <c r="F5" s="157" t="s">
        <v>85</v>
      </c>
      <c r="G5" s="161" t="s">
        <v>229</v>
      </c>
      <c r="H5" s="157" t="s">
        <v>72</v>
      </c>
      <c r="I5" s="159" t="s">
        <v>73</v>
      </c>
      <c r="J5" s="156" t="s">
        <v>66</v>
      </c>
    </row>
    <row r="6" spans="1:12" x14ac:dyDescent="0.25">
      <c r="A6" s="5" t="s">
        <v>41</v>
      </c>
      <c r="B6" s="73" t="s">
        <v>99</v>
      </c>
      <c r="C6" s="55" t="s">
        <v>11</v>
      </c>
      <c r="D6" s="153">
        <f ca="1">$B$40*IFERROR(VLOOKUP($C6,$C$61:$G$71,5,FALSE),0)*IFERROR(VLOOKUP($C6,$C$45:$D$55,2,FALSE),0)</f>
        <v>6499.0814400000017</v>
      </c>
      <c r="E6" s="153">
        <f ca="1">$C$40*IFERROR(VLOOKUP($C6,$C$45:$D$55,2,FALSE),0)*IFERROR(VLOOKUP($C6,$C$75:$G$84,5,FALSE),0)</f>
        <v>0</v>
      </c>
      <c r="F6" s="153">
        <f>$D$40*IFERROR(VLOOKUP(A6,$B$89:$G$91,6,FALSE),0)*IFERROR(VLOOKUP(C6,$C$45:$D$55,2,FALSE),0)</f>
        <v>1706.0088780000001</v>
      </c>
      <c r="G6" s="135">
        <f>$E$40*IFERROR(VLOOKUP($C6,$A$149:$G$154,7,FALSE),0)*IFERROR(VLOOKUP($C6,$C$45:$D$55,2,FALSE),0)</f>
        <v>1462.2933240000002</v>
      </c>
      <c r="H6" s="154">
        <f ca="1">SUM(D6:G6)</f>
        <v>9667.3836420000025</v>
      </c>
      <c r="I6" s="49">
        <f>VLOOKUP($A6,$B$22:$C$24,2,FALSE)/VLOOKUP($A6,$B$22:$D$24,3,FALSE)*0.5%</f>
        <v>4559.8207166666671</v>
      </c>
      <c r="J6" s="56">
        <f ca="1">SUM(H6:I6)</f>
        <v>14227.20435866667</v>
      </c>
    </row>
    <row r="7" spans="1:12" x14ac:dyDescent="0.25">
      <c r="A7" s="5" t="s">
        <v>42</v>
      </c>
      <c r="B7" s="163"/>
      <c r="C7" s="57" t="s">
        <v>77</v>
      </c>
      <c r="D7" s="153">
        <f t="shared" ref="D7:D14" ca="1" si="0">$B$40*IFERROR(VLOOKUP($C7,$C$61:$G$71,5,FALSE),0)*IFERROR(VLOOKUP($C7,$C$45:$D$55,2,FALSE),0)</f>
        <v>0</v>
      </c>
      <c r="E7" s="153">
        <f t="shared" ref="E7:E14" ca="1" si="1">$C$40*IFERROR(VLOOKUP($C7,$C$45:$D$55,2,FALSE),0)*IFERROR(VLOOKUP($C7,$C$75:$G$84,5,FALSE),0)</f>
        <v>0</v>
      </c>
      <c r="F7" s="153">
        <f t="shared" ref="F7:F12" si="2">$D$40*IFERROR(VLOOKUP(A7,$B$89:$G$91,6,FALSE),0)*IFERROR(VLOOKUP(C7,$C$45:$D$55,2,FALSE),0)</f>
        <v>0</v>
      </c>
      <c r="G7" s="135">
        <f t="shared" ref="G7:G14" si="3">$E$40*IFERROR(VLOOKUP($C7,$A$149:$G$154,7,FALSE),0)*IFERROR(VLOOKUP($C7,$C$45:$D$55,2,FALSE),0)</f>
        <v>0</v>
      </c>
      <c r="H7" s="154">
        <f t="shared" ref="H7:H14" ca="1" si="4">SUM(D7:G7)</f>
        <v>0</v>
      </c>
      <c r="I7" s="49"/>
      <c r="J7" s="56">
        <f t="shared" ref="J7:J14" ca="1" si="5">SUM(H7:I7)</f>
        <v>0</v>
      </c>
    </row>
    <row r="8" spans="1:12" x14ac:dyDescent="0.25">
      <c r="A8" s="5" t="s">
        <v>41</v>
      </c>
      <c r="B8" s="55" t="s">
        <v>75</v>
      </c>
      <c r="C8" s="55" t="s">
        <v>25</v>
      </c>
      <c r="D8" s="153">
        <f t="shared" ca="1" si="0"/>
        <v>10853.005702500001</v>
      </c>
      <c r="E8" s="153">
        <f t="shared" ca="1" si="1"/>
        <v>3376.490663</v>
      </c>
      <c r="F8" s="153">
        <f t="shared" si="2"/>
        <v>2532.3679972499999</v>
      </c>
      <c r="G8" s="135">
        <f t="shared" si="3"/>
        <v>2532.3679972499999</v>
      </c>
      <c r="H8" s="154">
        <f t="shared" ca="1" si="4"/>
        <v>19294.232360000002</v>
      </c>
      <c r="I8" s="49">
        <f t="shared" ref="I8:I13" si="6">VLOOKUP($A8,$B$22:$C$24,2,FALSE)/VLOOKUP($A8,$B$22:$D$24,3,FALSE)*0.5%</f>
        <v>4559.8207166666671</v>
      </c>
      <c r="J8" s="56">
        <f t="shared" ca="1" si="5"/>
        <v>23854.053076666671</v>
      </c>
    </row>
    <row r="9" spans="1:12" x14ac:dyDescent="0.25">
      <c r="A9" s="5" t="s">
        <v>43</v>
      </c>
      <c r="B9" s="55" t="s">
        <v>76</v>
      </c>
      <c r="C9" s="163" t="s">
        <v>27</v>
      </c>
      <c r="D9" s="153">
        <f t="shared" ca="1" si="0"/>
        <v>152.83750000000001</v>
      </c>
      <c r="E9" s="153">
        <f t="shared" ca="1" si="1"/>
        <v>0</v>
      </c>
      <c r="F9" s="153">
        <f t="shared" si="2"/>
        <v>45.85125</v>
      </c>
      <c r="G9" s="135">
        <f t="shared" si="3"/>
        <v>45.85125</v>
      </c>
      <c r="H9" s="154">
        <f t="shared" ca="1" si="4"/>
        <v>244.54</v>
      </c>
      <c r="I9" s="49"/>
      <c r="J9" s="56">
        <f t="shared" ca="1" si="5"/>
        <v>244.54</v>
      </c>
    </row>
    <row r="10" spans="1:12" x14ac:dyDescent="0.25">
      <c r="A10" s="5" t="s">
        <v>41</v>
      </c>
      <c r="B10" s="163" t="s">
        <v>231</v>
      </c>
      <c r="C10" s="72" t="s">
        <v>96</v>
      </c>
      <c r="D10" s="153">
        <f t="shared" ca="1" si="0"/>
        <v>0</v>
      </c>
      <c r="E10" s="153">
        <f t="shared" ca="1" si="1"/>
        <v>0</v>
      </c>
      <c r="F10" s="153">
        <f t="shared" si="2"/>
        <v>153.66604574999999</v>
      </c>
      <c r="G10" s="135">
        <f t="shared" si="3"/>
        <v>153.66604574999999</v>
      </c>
      <c r="H10" s="154">
        <f t="shared" ca="1" si="4"/>
        <v>307.33209149999999</v>
      </c>
      <c r="I10" s="49">
        <f t="shared" si="6"/>
        <v>4559.8207166666671</v>
      </c>
      <c r="J10" s="56">
        <f t="shared" ca="1" si="5"/>
        <v>4867.1528081666675</v>
      </c>
    </row>
    <row r="11" spans="1:12" x14ac:dyDescent="0.25">
      <c r="A11" s="5" t="s">
        <v>43</v>
      </c>
      <c r="B11" s="166" t="s">
        <v>89</v>
      </c>
      <c r="C11" s="166" t="s">
        <v>24</v>
      </c>
      <c r="D11" s="153">
        <f t="shared" ca="1" si="0"/>
        <v>11202.368895</v>
      </c>
      <c r="E11" s="153">
        <f t="shared" ca="1" si="1"/>
        <v>0</v>
      </c>
      <c r="F11" s="153">
        <f t="shared" si="2"/>
        <v>3734.1229649999996</v>
      </c>
      <c r="G11" s="135">
        <f t="shared" si="3"/>
        <v>3360.7106685000003</v>
      </c>
      <c r="H11" s="154">
        <f t="shared" ca="1" si="4"/>
        <v>18297.202528499998</v>
      </c>
      <c r="I11" s="49">
        <f t="shared" si="6"/>
        <v>1457.2518749999999</v>
      </c>
      <c r="J11" s="56">
        <f t="shared" ca="1" si="5"/>
        <v>19754.4544035</v>
      </c>
      <c r="K11" s="165" t="s">
        <v>234</v>
      </c>
      <c r="L11" s="165"/>
    </row>
    <row r="12" spans="1:12" x14ac:dyDescent="0.25">
      <c r="A12" s="5" t="s">
        <v>43</v>
      </c>
      <c r="B12" s="55"/>
      <c r="C12" s="105" t="s">
        <v>111</v>
      </c>
      <c r="D12" s="153">
        <f ca="1">$B$40*IFERROR(VLOOKUP($C12,$C$61:$G$71,5,FALSE),0)*IFERROR(VLOOKUP($C12,$C$45:$D$55,2,FALSE),0)</f>
        <v>0</v>
      </c>
      <c r="E12" s="153">
        <f t="shared" si="1"/>
        <v>0</v>
      </c>
      <c r="F12" s="153">
        <f t="shared" si="2"/>
        <v>0</v>
      </c>
      <c r="G12" s="135">
        <f t="shared" si="3"/>
        <v>0</v>
      </c>
      <c r="H12" s="154">
        <f t="shared" ca="1" si="4"/>
        <v>0</v>
      </c>
      <c r="I12" s="49"/>
      <c r="J12" s="56">
        <f t="shared" ca="1" si="5"/>
        <v>0</v>
      </c>
    </row>
    <row r="13" spans="1:12" x14ac:dyDescent="0.25">
      <c r="A13" s="5" t="s">
        <v>43</v>
      </c>
      <c r="B13" s="163" t="s">
        <v>101</v>
      </c>
      <c r="C13" s="105" t="s">
        <v>104</v>
      </c>
      <c r="D13" s="153">
        <f ca="1">$B$40*IFERROR(VLOOKUP($C13,$C$61:$G$71,5,FALSE),0)*IFERROR(VLOOKUP($C13,$C$45:$D$55,2,FALSE),0)</f>
        <v>7775.4251025000003</v>
      </c>
      <c r="E13" s="153">
        <f t="shared" ca="1" si="1"/>
        <v>0</v>
      </c>
      <c r="F13" s="153">
        <f>$D$40*IFERROR(VLOOKUP(A13,$B$89:$G$91,6,FALSE),0)*IFERROR(VLOOKUP(C13,$C$45:$D$55,2,FALSE),0)</f>
        <v>2591.8083675000003</v>
      </c>
      <c r="G13" s="135">
        <f t="shared" si="3"/>
        <v>2073.4466940000002</v>
      </c>
      <c r="H13" s="154">
        <f t="shared" ca="1" si="4"/>
        <v>12440.680164000001</v>
      </c>
      <c r="I13" s="49">
        <f t="shared" si="6"/>
        <v>1457.2518749999999</v>
      </c>
      <c r="J13" s="56">
        <f t="shared" ca="1" si="5"/>
        <v>13897.932039000001</v>
      </c>
    </row>
    <row r="14" spans="1:12" x14ac:dyDescent="0.25">
      <c r="A14" s="5" t="s">
        <v>43</v>
      </c>
      <c r="B14" s="55"/>
      <c r="C14" s="72" t="s">
        <v>97</v>
      </c>
      <c r="D14" s="153">
        <f t="shared" ca="1" si="0"/>
        <v>0</v>
      </c>
      <c r="E14" s="153">
        <f t="shared" ca="1" si="1"/>
        <v>0</v>
      </c>
      <c r="F14" s="153">
        <f>$D$40*IFERROR(VLOOKUP(A14,$B$89:$G$91,6,FALSE),0)*IFERROR(VLOOKUP(C14,$C$45:$D$55,2,FALSE),0)</f>
        <v>0</v>
      </c>
      <c r="G14" s="160">
        <f t="shared" si="3"/>
        <v>0</v>
      </c>
      <c r="H14" s="154">
        <f t="shared" ca="1" si="4"/>
        <v>0</v>
      </c>
      <c r="I14" s="49"/>
      <c r="J14" s="56">
        <f t="shared" ca="1" si="5"/>
        <v>0</v>
      </c>
    </row>
    <row r="15" spans="1:12" x14ac:dyDescent="0.25">
      <c r="B15" s="28"/>
      <c r="D15" s="50"/>
      <c r="E15" s="50"/>
      <c r="F15" s="50"/>
      <c r="H15" s="52">
        <f ca="1">SUM(H6:H14)</f>
        <v>60251.370785999999</v>
      </c>
      <c r="I15" s="51">
        <f>SUM(I6:I14)</f>
        <v>16593.965900000003</v>
      </c>
      <c r="J15" s="52">
        <f ca="1">SUM(J6:J11)</f>
        <v>62947.40464700001</v>
      </c>
    </row>
    <row r="16" spans="1:12" ht="15.75" thickBot="1" x14ac:dyDescent="0.3">
      <c r="B16" s="30"/>
      <c r="C16" s="31"/>
      <c r="D16" s="32"/>
      <c r="E16" s="32"/>
      <c r="F16" s="32"/>
      <c r="G16" s="33"/>
      <c r="H16" s="31"/>
      <c r="I16" s="31"/>
      <c r="J16" s="34"/>
    </row>
    <row r="17" spans="2:10" x14ac:dyDescent="0.25">
      <c r="D17" s="7"/>
      <c r="E17" s="7"/>
      <c r="F17" s="7"/>
      <c r="G17" s="19"/>
    </row>
    <row r="18" spans="2:10" x14ac:dyDescent="0.25">
      <c r="D18" s="7"/>
      <c r="E18" s="7"/>
      <c r="F18" s="7"/>
      <c r="G18" s="19"/>
    </row>
    <row r="19" spans="2:10" x14ac:dyDescent="0.25">
      <c r="B19" s="20" t="s">
        <v>70</v>
      </c>
      <c r="C19" s="21"/>
      <c r="D19" s="21"/>
      <c r="E19" s="21"/>
      <c r="F19" s="21"/>
      <c r="G19" s="21"/>
      <c r="H19" s="21"/>
      <c r="I19" s="21"/>
      <c r="J19" s="21"/>
    </row>
    <row r="20" spans="2:10" x14ac:dyDescent="0.25">
      <c r="D20" s="7"/>
      <c r="E20" s="7"/>
      <c r="F20" s="7"/>
      <c r="G20" s="19"/>
    </row>
    <row r="21" spans="2:10" ht="45" x14ac:dyDescent="0.25">
      <c r="B21" s="109" t="s">
        <v>68</v>
      </c>
      <c r="C21" s="9" t="s">
        <v>67</v>
      </c>
      <c r="D21" s="110" t="s">
        <v>123</v>
      </c>
      <c r="E21" s="7"/>
      <c r="F21" s="7"/>
      <c r="G21" s="19"/>
    </row>
    <row r="22" spans="2:10" x14ac:dyDescent="0.25">
      <c r="B22" s="24" t="s">
        <v>41</v>
      </c>
      <c r="C22" s="84">
        <f>VLOOKUP(B22,'1С Колеровка'!$A$3:$B$103,2,FALSE)</f>
        <v>2735892.43</v>
      </c>
      <c r="D22" s="39">
        <v>3</v>
      </c>
      <c r="E22" s="7"/>
      <c r="F22" s="7"/>
      <c r="G22" s="19"/>
    </row>
    <row r="23" spans="2:10" x14ac:dyDescent="0.25">
      <c r="B23" s="24" t="s">
        <v>42</v>
      </c>
      <c r="C23" s="84">
        <f>VLOOKUP(B23,'1С Колеровка'!$A$3:$B$103,2,FALSE)</f>
        <v>105823.45</v>
      </c>
      <c r="D23" s="39">
        <v>1</v>
      </c>
      <c r="E23" s="7"/>
      <c r="F23" s="7"/>
      <c r="G23" s="19"/>
    </row>
    <row r="24" spans="2:10" x14ac:dyDescent="0.25">
      <c r="B24" s="24" t="s">
        <v>43</v>
      </c>
      <c r="C24" s="84">
        <f>VLOOKUP(B24,'1С Колеровка'!$A$3:$B$103,2,FALSE)</f>
        <v>582900.75</v>
      </c>
      <c r="D24" s="39">
        <v>2</v>
      </c>
      <c r="E24" s="7"/>
      <c r="F24" s="7"/>
      <c r="G24" s="19"/>
    </row>
    <row r="25" spans="2:10" x14ac:dyDescent="0.25">
      <c r="C25" s="85">
        <f>SUM(C22:C24)</f>
        <v>3424616.6300000004</v>
      </c>
      <c r="D25" s="7"/>
      <c r="E25" s="7"/>
      <c r="F25" s="7"/>
      <c r="G25" s="19"/>
    </row>
    <row r="26" spans="2:10" x14ac:dyDescent="0.25">
      <c r="C26" s="23"/>
      <c r="D26" s="7"/>
      <c r="E26" s="7"/>
      <c r="F26" s="7"/>
      <c r="G26" s="19"/>
    </row>
    <row r="27" spans="2:10" x14ac:dyDescent="0.25">
      <c r="B27" s="74" t="s">
        <v>71</v>
      </c>
      <c r="C27" s="74"/>
      <c r="D27" s="75">
        <v>5.0000000000000001E-3</v>
      </c>
      <c r="E27" s="7"/>
      <c r="F27" s="7"/>
      <c r="G27" s="19"/>
    </row>
    <row r="28" spans="2:10" x14ac:dyDescent="0.25">
      <c r="B28" s="76" t="s">
        <v>231</v>
      </c>
      <c r="C28" s="77">
        <f>C22/2</f>
        <v>1367946.2150000001</v>
      </c>
      <c r="D28" s="77">
        <f>C28*$D$27</f>
        <v>6839.7310750000006</v>
      </c>
      <c r="E28" s="7"/>
      <c r="F28" s="7"/>
      <c r="G28" s="19"/>
    </row>
    <row r="29" spans="2:10" x14ac:dyDescent="0.25">
      <c r="B29" s="76" t="s">
        <v>99</v>
      </c>
      <c r="C29" s="77">
        <f>C24/2</f>
        <v>291450.375</v>
      </c>
      <c r="D29" s="77">
        <f>C29*$D$27</f>
        <v>1457.2518749999999</v>
      </c>
      <c r="E29" s="7"/>
      <c r="F29" s="7"/>
      <c r="G29" s="19"/>
    </row>
    <row r="30" spans="2:10" x14ac:dyDescent="0.25">
      <c r="B30" s="76" t="s">
        <v>75</v>
      </c>
      <c r="C30" s="77">
        <f>C22/2</f>
        <v>1367946.2150000001</v>
      </c>
      <c r="D30" s="77">
        <f t="shared" ref="D30:D31" si="7">C30*$D$27</f>
        <v>6839.7310750000006</v>
      </c>
      <c r="E30" s="7"/>
      <c r="F30" s="7"/>
      <c r="G30" s="19"/>
    </row>
    <row r="31" spans="2:10" x14ac:dyDescent="0.25">
      <c r="B31" s="76" t="s">
        <v>89</v>
      </c>
      <c r="C31" s="77">
        <f>C24/2</f>
        <v>291450.375</v>
      </c>
      <c r="D31" s="77">
        <f t="shared" si="7"/>
        <v>1457.2518749999999</v>
      </c>
      <c r="E31" s="7"/>
      <c r="F31" s="7"/>
      <c r="G31" s="19"/>
    </row>
    <row r="32" spans="2:10" x14ac:dyDescent="0.25">
      <c r="B32" s="76" t="s">
        <v>76</v>
      </c>
      <c r="C32" s="77">
        <f>C23</f>
        <v>105823.45</v>
      </c>
      <c r="D32" s="77">
        <f>C32*$D$27</f>
        <v>529.11725000000001</v>
      </c>
      <c r="E32" s="7"/>
      <c r="F32" s="7"/>
      <c r="G32" s="19"/>
    </row>
    <row r="33" spans="2:10" x14ac:dyDescent="0.25">
      <c r="B33" s="78"/>
      <c r="C33" s="79">
        <f>SUM(C28:C32)</f>
        <v>3424616.6300000004</v>
      </c>
      <c r="D33" s="79">
        <f>SUM(D28:D32)</f>
        <v>17123.083150000002</v>
      </c>
      <c r="E33" s="7"/>
      <c r="F33" s="7"/>
      <c r="G33" s="19"/>
    </row>
    <row r="34" spans="2:10" x14ac:dyDescent="0.25">
      <c r="D34" s="7"/>
      <c r="E34" s="7"/>
      <c r="F34" s="7"/>
      <c r="G34" s="19"/>
    </row>
    <row r="35" spans="2:10" x14ac:dyDescent="0.25">
      <c r="D35" s="7"/>
      <c r="E35" s="7"/>
      <c r="F35" s="7"/>
      <c r="G35" s="19"/>
    </row>
    <row r="36" spans="2:10" x14ac:dyDescent="0.25">
      <c r="D36" s="7"/>
      <c r="E36" s="7"/>
      <c r="F36" s="7"/>
    </row>
    <row r="37" spans="2:10" x14ac:dyDescent="0.25">
      <c r="B37" s="20" t="s">
        <v>69</v>
      </c>
      <c r="C37" s="21"/>
      <c r="D37" s="21"/>
      <c r="E37" s="21"/>
      <c r="F37" s="21"/>
      <c r="G37" s="21"/>
      <c r="H37" s="21"/>
      <c r="I37" s="21"/>
      <c r="J37" s="21"/>
    </row>
    <row r="38" spans="2:10" x14ac:dyDescent="0.25">
      <c r="B38" s="22"/>
    </row>
    <row r="39" spans="2:10" x14ac:dyDescent="0.25">
      <c r="B39" s="167" t="s">
        <v>78</v>
      </c>
      <c r="C39" s="168"/>
      <c r="D39" s="169"/>
      <c r="F39" s="170" t="s">
        <v>61</v>
      </c>
      <c r="G39" s="170"/>
      <c r="H39" s="170"/>
      <c r="I39" s="170"/>
      <c r="J39" s="170"/>
    </row>
    <row r="40" spans="2:10" ht="15.75" x14ac:dyDescent="0.25">
      <c r="B40" s="13">
        <v>0.5</v>
      </c>
      <c r="C40" s="13">
        <v>0.2</v>
      </c>
      <c r="D40" s="13">
        <v>0.15</v>
      </c>
      <c r="E40" s="151">
        <v>0.15</v>
      </c>
      <c r="F40" s="11">
        <v>0</v>
      </c>
      <c r="G40" s="11">
        <v>0.7</v>
      </c>
      <c r="H40" s="11">
        <v>0.8</v>
      </c>
      <c r="I40" s="11">
        <v>0.9</v>
      </c>
      <c r="J40" s="11">
        <v>1</v>
      </c>
    </row>
    <row r="41" spans="2:10" ht="47.25" x14ac:dyDescent="0.25">
      <c r="B41" s="18" t="s">
        <v>63</v>
      </c>
      <c r="C41" s="18" t="s">
        <v>62</v>
      </c>
      <c r="D41" s="18" t="s">
        <v>64</v>
      </c>
      <c r="E41" s="152" t="s">
        <v>223</v>
      </c>
      <c r="F41" s="12" t="s">
        <v>57</v>
      </c>
      <c r="G41" s="12" t="s">
        <v>57</v>
      </c>
      <c r="H41" s="12" t="s">
        <v>57</v>
      </c>
      <c r="I41" s="12" t="s">
        <v>57</v>
      </c>
      <c r="J41" s="12" t="s">
        <v>58</v>
      </c>
    </row>
    <row r="42" spans="2:10" x14ac:dyDescent="0.25">
      <c r="F42" s="13">
        <v>0.5</v>
      </c>
      <c r="G42" s="13">
        <v>0.7</v>
      </c>
      <c r="H42" s="13">
        <v>0.8</v>
      </c>
      <c r="I42" s="13">
        <v>0.9</v>
      </c>
      <c r="J42" s="13">
        <v>0.9</v>
      </c>
    </row>
    <row r="44" spans="2:10" x14ac:dyDescent="0.25">
      <c r="B44" s="8" t="s">
        <v>53</v>
      </c>
      <c r="C44" s="8"/>
      <c r="D44" s="8" t="s">
        <v>59</v>
      </c>
    </row>
    <row r="45" spans="2:10" s="37" customFormat="1" x14ac:dyDescent="0.25">
      <c r="B45" s="5"/>
      <c r="C45" s="45" t="s">
        <v>77</v>
      </c>
      <c r="D45" s="139">
        <f>IFERROR(VLOOKUP(C45,'1С Продажи-Сделка'!$A$5:$D$136,4,0),0)</f>
        <v>0</v>
      </c>
    </row>
    <row r="46" spans="2:10" x14ac:dyDescent="0.25">
      <c r="B46" s="5" t="s">
        <v>102</v>
      </c>
      <c r="C46" s="5" t="s">
        <v>11</v>
      </c>
      <c r="D46" s="139">
        <f>IFERROR(VLOOKUP(C46,'1С Продажи-Сделка'!$A$5:$D$136,4,0),0)</f>
        <v>16247.703600000003</v>
      </c>
    </row>
    <row r="47" spans="2:10" x14ac:dyDescent="0.25">
      <c r="B47" s="5" t="s">
        <v>75</v>
      </c>
      <c r="C47" s="5" t="s">
        <v>25</v>
      </c>
      <c r="D47" s="139">
        <f>IFERROR(VLOOKUP(C47,'1С Продажи-Сделка'!$A$5:$D$136,4,0),0)</f>
        <v>24117.79045</v>
      </c>
    </row>
    <row r="48" spans="2:10" x14ac:dyDescent="0.25">
      <c r="B48" s="5" t="s">
        <v>89</v>
      </c>
      <c r="C48" s="5" t="s">
        <v>24</v>
      </c>
      <c r="D48" s="139">
        <f>IFERROR(VLOOKUP(C48,'1С Продажи-Сделка'!$A$5:$D$136,4,0),0)</f>
        <v>24894.1531</v>
      </c>
    </row>
    <row r="49" spans="2:7" x14ac:dyDescent="0.25">
      <c r="B49" s="5" t="s">
        <v>76</v>
      </c>
      <c r="C49" s="162" t="s">
        <v>27</v>
      </c>
      <c r="D49" s="139">
        <f>IFERROR(VLOOKUP(C49,'1С Продажи-Сделка'!$A$5:$D$136,4,0),0)</f>
        <v>305.67500000000001</v>
      </c>
    </row>
    <row r="50" spans="2:7" x14ac:dyDescent="0.25">
      <c r="B50" s="5"/>
      <c r="C50" s="106" t="s">
        <v>111</v>
      </c>
      <c r="D50" s="139">
        <f>IFERROR(VLOOKUP(C50,'1С Продажи-Сделка'!$A$5:$D$136,4,0),0)</f>
        <v>0</v>
      </c>
    </row>
    <row r="51" spans="2:7" x14ac:dyDescent="0.25">
      <c r="B51" s="5"/>
      <c r="C51" s="83" t="s">
        <v>103</v>
      </c>
      <c r="D51" s="139">
        <f>IFERROR(VLOOKUP(C51,'1С Продажи-Сделка'!$A$5:$D$136,4,0),0)</f>
        <v>0</v>
      </c>
    </row>
    <row r="52" spans="2:7" x14ac:dyDescent="0.25">
      <c r="B52" s="5" t="s">
        <v>101</v>
      </c>
      <c r="C52" s="83" t="s">
        <v>104</v>
      </c>
      <c r="D52" s="139">
        <f>IFERROR(VLOOKUP(C52,'1С Продажи-Сделка'!$A$5:$D$136,4,0),0)</f>
        <v>17278.722450000001</v>
      </c>
    </row>
    <row r="53" spans="2:7" x14ac:dyDescent="0.25">
      <c r="B53" s="5"/>
      <c r="C53" s="70" t="s">
        <v>97</v>
      </c>
      <c r="D53" s="139">
        <f>IFERROR(VLOOKUP(C53,'1С Продажи-Сделка'!$A$5:$D$136,4,0),0)</f>
        <v>0</v>
      </c>
    </row>
    <row r="54" spans="2:7" x14ac:dyDescent="0.25">
      <c r="B54" s="5" t="s">
        <v>231</v>
      </c>
      <c r="C54" s="70" t="s">
        <v>96</v>
      </c>
      <c r="D54" s="139">
        <f>IFERROR(VLOOKUP(C54,'1С Продажи-Сделка'!$A$5:$D$136,4,0),0)</f>
        <v>1463.48615</v>
      </c>
    </row>
    <row r="55" spans="2:7" x14ac:dyDescent="0.25">
      <c r="C55" s="71"/>
      <c r="D55" s="140">
        <f>SUM(D45:D54)</f>
        <v>84307.530750000005</v>
      </c>
    </row>
    <row r="56" spans="2:7" x14ac:dyDescent="0.25">
      <c r="B56" s="14" t="s">
        <v>52</v>
      </c>
      <c r="D56" s="7"/>
    </row>
    <row r="57" spans="2:7" x14ac:dyDescent="0.25">
      <c r="B57" s="14" t="s">
        <v>50</v>
      </c>
      <c r="D57" s="7"/>
    </row>
    <row r="58" spans="2:7" x14ac:dyDescent="0.25">
      <c r="B58" s="14" t="s">
        <v>51</v>
      </c>
      <c r="D58" s="7"/>
    </row>
    <row r="59" spans="2:7" x14ac:dyDescent="0.25">
      <c r="D59" s="7"/>
    </row>
    <row r="60" spans="2:7" x14ac:dyDescent="0.25">
      <c r="B60" s="9" t="s">
        <v>60</v>
      </c>
      <c r="C60" s="9"/>
      <c r="D60" s="9" t="s">
        <v>44</v>
      </c>
      <c r="E60" s="9" t="s">
        <v>45</v>
      </c>
      <c r="F60" s="9" t="s">
        <v>48</v>
      </c>
      <c r="G60" s="9" t="s">
        <v>80</v>
      </c>
    </row>
    <row r="61" spans="2:7" s="35" customFormat="1" x14ac:dyDescent="0.25">
      <c r="B61" s="164"/>
      <c r="C61" s="5" t="s">
        <v>77</v>
      </c>
      <c r="D61" s="107">
        <v>0</v>
      </c>
      <c r="E61" s="136">
        <f ca="1">SUMIF($B$96:$C$112,C61,$C$96:$C$112)</f>
        <v>0</v>
      </c>
      <c r="F61" s="46" t="e">
        <f ca="1">E61/D61</f>
        <v>#DIV/0!</v>
      </c>
      <c r="G61" s="48" t="e">
        <f t="shared" ref="G61:G62" ca="1" si="8">IF(F61&lt;$F$42,$F$40,IF(F61&lt;$G$42,$G$40,IF(F61&lt;$H$42,$H$40,IF(F61&lt;$I$42,$I$40,$J$40))))</f>
        <v>#DIV/0!</v>
      </c>
    </row>
    <row r="62" spans="2:7" x14ac:dyDescent="0.25">
      <c r="B62" s="5" t="s">
        <v>99</v>
      </c>
      <c r="C62" s="5" t="s">
        <v>11</v>
      </c>
      <c r="D62" s="86">
        <v>874072</v>
      </c>
      <c r="E62" s="136">
        <f t="shared" ref="E62:E69" ca="1" si="9">SUMIF($B$96:$C$112,C62,$C$96:$C$112)</f>
        <v>625771.85</v>
      </c>
      <c r="F62" s="46">
        <f t="shared" ref="F62" ca="1" si="10">E62/D62</f>
        <v>0.71592712042028572</v>
      </c>
      <c r="G62" s="48">
        <f t="shared" ca="1" si="8"/>
        <v>0.8</v>
      </c>
    </row>
    <row r="63" spans="2:7" x14ac:dyDescent="0.25">
      <c r="B63" s="5"/>
      <c r="C63" s="5" t="s">
        <v>103</v>
      </c>
      <c r="D63" s="107">
        <v>0.01</v>
      </c>
      <c r="E63" s="136">
        <f t="shared" ca="1" si="9"/>
        <v>0</v>
      </c>
      <c r="F63" s="46">
        <f t="shared" ref="F63:F70" ca="1" si="11">E63/D63</f>
        <v>0</v>
      </c>
      <c r="G63" s="48">
        <f ca="1">IF(F63&lt;$F$42,$F$40,IF(F63&lt;$G$42,$G$40,IF(F63&lt;$H$42,$H$40,IF(F63&lt;$I$42,$I$40,$J$40))))</f>
        <v>0</v>
      </c>
    </row>
    <row r="64" spans="2:7" x14ac:dyDescent="0.25">
      <c r="B64" s="5"/>
      <c r="C64" s="5" t="s">
        <v>111</v>
      </c>
      <c r="D64" s="107">
        <v>0.01</v>
      </c>
      <c r="E64" s="136">
        <f t="shared" ca="1" si="9"/>
        <v>0</v>
      </c>
      <c r="F64" s="46">
        <f ca="1">E64/D64</f>
        <v>0</v>
      </c>
      <c r="G64" s="48">
        <f ca="1">IF(F64&lt;$F$42,$F$40,IF(F64&lt;$G$42,$G$40,IF(F64&lt;$H$42,$H$40,IF(F64&lt;$I$42,$I$40,$J$40))))</f>
        <v>0</v>
      </c>
    </row>
    <row r="65" spans="2:12" x14ac:dyDescent="0.25">
      <c r="B65" s="5" t="s">
        <v>100</v>
      </c>
      <c r="C65" s="5" t="s">
        <v>104</v>
      </c>
      <c r="D65" s="86">
        <v>848144</v>
      </c>
      <c r="E65" s="136">
        <f t="shared" ca="1" si="9"/>
        <v>682567.26</v>
      </c>
      <c r="F65" s="46">
        <f t="shared" ca="1" si="11"/>
        <v>0.80477756135750533</v>
      </c>
      <c r="G65" s="48">
        <f t="shared" ref="G65:G70" ca="1" si="12">IF(F65&lt;$F$42,$F$40,IF(F65&lt;$G$42,$G$40,IF(F65&lt;$H$42,$H$40,IF(F65&lt;$I$42,$I$40,$J$40))))</f>
        <v>0.9</v>
      </c>
    </row>
    <row r="66" spans="2:12" x14ac:dyDescent="0.25">
      <c r="B66" s="5" t="s">
        <v>75</v>
      </c>
      <c r="C66" s="5" t="s">
        <v>25</v>
      </c>
      <c r="D66" s="86">
        <v>1037050</v>
      </c>
      <c r="E66" s="136">
        <f t="shared" ca="1" si="9"/>
        <v>897447.86</v>
      </c>
      <c r="F66" s="46">
        <f t="shared" ca="1" si="11"/>
        <v>0.86538533339761825</v>
      </c>
      <c r="G66" s="48">
        <f t="shared" ca="1" si="12"/>
        <v>0.9</v>
      </c>
    </row>
    <row r="67" spans="2:12" x14ac:dyDescent="0.25">
      <c r="B67" s="5" t="s">
        <v>89</v>
      </c>
      <c r="C67" s="5" t="s">
        <v>24</v>
      </c>
      <c r="D67" s="86">
        <v>1092590</v>
      </c>
      <c r="E67" s="136">
        <f t="shared" ca="1" si="9"/>
        <v>976643.25</v>
      </c>
      <c r="F67" s="46">
        <f t="shared" ca="1" si="11"/>
        <v>0.89387899395015513</v>
      </c>
      <c r="G67" s="48">
        <f ca="1">IF(F67&lt;$F$42,$F$40,IF(F67&lt;$G$42,$G$40,IF(F67&lt;$H$42,$H$40,IF(F67&lt;$I$42,$I$40,$J$40))))</f>
        <v>0.9</v>
      </c>
    </row>
    <row r="68" spans="2:12" x14ac:dyDescent="0.25">
      <c r="B68" s="5" t="s">
        <v>76</v>
      </c>
      <c r="C68" s="44" t="s">
        <v>27</v>
      </c>
      <c r="D68" s="107">
        <v>0.01</v>
      </c>
      <c r="E68" s="136">
        <f t="shared" ca="1" si="9"/>
        <v>12227</v>
      </c>
      <c r="F68" s="46">
        <f t="shared" ca="1" si="11"/>
        <v>1222700</v>
      </c>
      <c r="G68" s="48">
        <f t="shared" ca="1" si="12"/>
        <v>1</v>
      </c>
    </row>
    <row r="69" spans="2:12" x14ac:dyDescent="0.25">
      <c r="B69" s="5" t="s">
        <v>231</v>
      </c>
      <c r="C69" s="70" t="s">
        <v>96</v>
      </c>
      <c r="D69" s="86">
        <v>648144</v>
      </c>
      <c r="E69" s="136">
        <f t="shared" ca="1" si="9"/>
        <v>58568.38</v>
      </c>
      <c r="F69" s="46">
        <f t="shared" ca="1" si="11"/>
        <v>9.0363221753190642E-2</v>
      </c>
      <c r="G69" s="48">
        <f t="shared" ca="1" si="12"/>
        <v>0</v>
      </c>
      <c r="H69" s="165" t="s">
        <v>235</v>
      </c>
    </row>
    <row r="70" spans="2:12" x14ac:dyDescent="0.25">
      <c r="B70" s="5"/>
      <c r="C70" s="70" t="s">
        <v>97</v>
      </c>
      <c r="D70" s="107">
        <v>0</v>
      </c>
      <c r="E70" s="136">
        <f ca="1">SUMIF($B$96:$C$112,C70,$C$96:$C$112)</f>
        <v>0</v>
      </c>
      <c r="F70" s="46" t="e">
        <f t="shared" ca="1" si="11"/>
        <v>#DIV/0!</v>
      </c>
      <c r="G70" s="48" t="e">
        <f t="shared" ca="1" si="12"/>
        <v>#DIV/0!</v>
      </c>
    </row>
    <row r="71" spans="2:12" x14ac:dyDescent="0.25">
      <c r="C71" s="69"/>
      <c r="D71" s="66"/>
      <c r="E71" s="137">
        <f ca="1">SUM(E61:E70)</f>
        <v>3253225.5999999996</v>
      </c>
      <c r="F71" s="67"/>
      <c r="G71" s="68"/>
    </row>
    <row r="72" spans="2:12" x14ac:dyDescent="0.25">
      <c r="B72" s="14" t="s">
        <v>55</v>
      </c>
    </row>
    <row r="74" spans="2:12" x14ac:dyDescent="0.25">
      <c r="B74" s="9" t="s">
        <v>49</v>
      </c>
      <c r="C74" s="9"/>
      <c r="D74" s="9" t="s">
        <v>44</v>
      </c>
      <c r="E74" s="9" t="s">
        <v>45</v>
      </c>
      <c r="F74" s="9" t="s">
        <v>48</v>
      </c>
      <c r="G74" s="9" t="s">
        <v>81</v>
      </c>
    </row>
    <row r="75" spans="2:12" s="35" customFormat="1" ht="17.100000000000001" customHeight="1" x14ac:dyDescent="0.25">
      <c r="B75" s="163"/>
      <c r="C75" s="42" t="s">
        <v>77</v>
      </c>
      <c r="D75" s="108">
        <v>0</v>
      </c>
      <c r="E75" s="133">
        <f ca="1">SUMIF($B$116:$C$137,C75,$C$116:$C$137)</f>
        <v>0</v>
      </c>
      <c r="F75" s="36" t="e">
        <f ca="1">E75/D75</f>
        <v>#DIV/0!</v>
      </c>
      <c r="G75" s="47" t="e">
        <f ca="1">IF(F75&lt;$F$42,$F$40,IF(F75&lt;$G$42,$G$40,IF(F75&lt;$H$42,$H$40,IF(F75&lt;$I$42,$I$40,$J$40))))</f>
        <v>#DIV/0!</v>
      </c>
      <c r="J75"/>
      <c r="K75"/>
      <c r="L75"/>
    </row>
    <row r="76" spans="2:12" s="35" customFormat="1" ht="17.100000000000001" customHeight="1" x14ac:dyDescent="0.25">
      <c r="B76" s="73"/>
      <c r="C76" s="82" t="s">
        <v>103</v>
      </c>
      <c r="D76" s="108">
        <f t="shared" ref="D76:D83" si="13">IFERROR(VLOOKUP($C76,$C$61:$D$70,2,FALSE),0)*4%</f>
        <v>4.0000000000000002E-4</v>
      </c>
      <c r="E76" s="133">
        <f t="shared" ref="E76:E83" ca="1" si="14">SUMIF($B$116:$C$137,C76,$C$116:$C$137)</f>
        <v>0</v>
      </c>
      <c r="F76" s="36">
        <f t="shared" ref="F76:F78" ca="1" si="15">E76/D76</f>
        <v>0</v>
      </c>
      <c r="G76" s="47">
        <f t="shared" ref="G76:G78" ca="1" si="16">IF(F76&lt;$F$42,$F$40,IF(F76&lt;$G$42,$G$40,IF(F76&lt;$H$42,$H$40,IF(F76&lt;$I$42,$I$40,$J$40))))</f>
        <v>0</v>
      </c>
      <c r="J76"/>
      <c r="K76"/>
      <c r="L76"/>
    </row>
    <row r="77" spans="2:12" s="35" customFormat="1" ht="17.100000000000001" customHeight="1" x14ac:dyDescent="0.25">
      <c r="B77" s="163" t="s">
        <v>101</v>
      </c>
      <c r="C77" s="82" t="s">
        <v>104</v>
      </c>
      <c r="D77" s="104">
        <f t="shared" si="13"/>
        <v>33925.760000000002</v>
      </c>
      <c r="E77" s="133">
        <f t="shared" ca="1" si="14"/>
        <v>8516.09</v>
      </c>
      <c r="F77" s="36">
        <f t="shared" ca="1" si="15"/>
        <v>0.25102134778999791</v>
      </c>
      <c r="G77" s="47">
        <f t="shared" ca="1" si="16"/>
        <v>0</v>
      </c>
      <c r="J77"/>
      <c r="K77"/>
      <c r="L77"/>
    </row>
    <row r="78" spans="2:12" s="37" customFormat="1" ht="17.100000000000001" customHeight="1" x14ac:dyDescent="0.25">
      <c r="B78" s="43" t="s">
        <v>89</v>
      </c>
      <c r="C78" s="42" t="s">
        <v>24</v>
      </c>
      <c r="D78" s="104">
        <f t="shared" si="13"/>
        <v>43703.6</v>
      </c>
      <c r="E78" s="133">
        <f t="shared" ca="1" si="14"/>
        <v>14470.46</v>
      </c>
      <c r="F78" s="36">
        <f t="shared" ca="1" si="15"/>
        <v>0.33110453143448138</v>
      </c>
      <c r="G78" s="47">
        <f t="shared" ca="1" si="16"/>
        <v>0</v>
      </c>
      <c r="J78" s="41" t="s">
        <v>43</v>
      </c>
      <c r="K78"/>
      <c r="L78"/>
    </row>
    <row r="79" spans="2:12" ht="17.100000000000001" customHeight="1" x14ac:dyDescent="0.25">
      <c r="B79" s="5" t="s">
        <v>99</v>
      </c>
      <c r="C79" s="5" t="s">
        <v>11</v>
      </c>
      <c r="D79" s="104">
        <f t="shared" si="13"/>
        <v>34962.879999999997</v>
      </c>
      <c r="E79" s="133">
        <f t="shared" ca="1" si="14"/>
        <v>13968.57</v>
      </c>
      <c r="F79" s="36">
        <f t="shared" ref="F79:F80" ca="1" si="17">E79/D79</f>
        <v>0.39952572556951832</v>
      </c>
      <c r="G79" s="47">
        <f t="shared" ref="G79:G83" ca="1" si="18">IF(F79&lt;$F$42,$F$40,IF(F79&lt;$G$42,$G$40,IF(F79&lt;$H$42,$H$40,IF(F79&lt;$I$42,$I$40,$J$40))))</f>
        <v>0</v>
      </c>
    </row>
    <row r="80" spans="2:12" ht="17.100000000000001" customHeight="1" x14ac:dyDescent="0.25">
      <c r="B80" s="5" t="s">
        <v>75</v>
      </c>
      <c r="C80" s="5" t="s">
        <v>25</v>
      </c>
      <c r="D80" s="104">
        <f t="shared" si="13"/>
        <v>41482</v>
      </c>
      <c r="E80" s="133">
        <f t="shared" ca="1" si="14"/>
        <v>26456.3</v>
      </c>
      <c r="F80" s="36">
        <f t="shared" ca="1" si="17"/>
        <v>0.63777783134853672</v>
      </c>
      <c r="G80" s="47">
        <f t="shared" ca="1" si="18"/>
        <v>0.7</v>
      </c>
    </row>
    <row r="81" spans="2:7" ht="17.100000000000001" customHeight="1" x14ac:dyDescent="0.25">
      <c r="B81" s="5" t="s">
        <v>76</v>
      </c>
      <c r="C81" s="5" t="s">
        <v>27</v>
      </c>
      <c r="D81" s="108">
        <f t="shared" si="13"/>
        <v>4.0000000000000002E-4</v>
      </c>
      <c r="E81" s="133">
        <f t="shared" ca="1" si="14"/>
        <v>0</v>
      </c>
      <c r="F81" s="6">
        <f t="shared" ref="F81:F83" ca="1" si="19">E81/D81</f>
        <v>0</v>
      </c>
      <c r="G81" s="47">
        <f t="shared" ca="1" si="18"/>
        <v>0</v>
      </c>
    </row>
    <row r="82" spans="2:7" ht="17.100000000000001" customHeight="1" x14ac:dyDescent="0.25">
      <c r="B82" s="5" t="s">
        <v>231</v>
      </c>
      <c r="C82" s="5" t="s">
        <v>96</v>
      </c>
      <c r="D82" s="104">
        <f t="shared" si="13"/>
        <v>25925.760000000002</v>
      </c>
      <c r="E82" s="133">
        <f t="shared" ca="1" si="14"/>
        <v>1485</v>
      </c>
      <c r="F82" s="6">
        <f t="shared" ca="1" si="19"/>
        <v>5.7278938013774712E-2</v>
      </c>
      <c r="G82" s="47">
        <f t="shared" ca="1" si="18"/>
        <v>0</v>
      </c>
    </row>
    <row r="83" spans="2:7" ht="17.100000000000001" customHeight="1" x14ac:dyDescent="0.25">
      <c r="B83" s="5"/>
      <c r="C83" s="5" t="s">
        <v>97</v>
      </c>
      <c r="D83" s="104">
        <f t="shared" si="13"/>
        <v>0</v>
      </c>
      <c r="E83" s="133">
        <f t="shared" ca="1" si="14"/>
        <v>0</v>
      </c>
      <c r="F83" s="6" t="e">
        <f t="shared" ca="1" si="19"/>
        <v>#DIV/0!</v>
      </c>
      <c r="G83" s="47" t="e">
        <f t="shared" ca="1" si="18"/>
        <v>#DIV/0!</v>
      </c>
    </row>
    <row r="84" spans="2:7" s="62" customFormat="1" ht="17.100000000000001" customHeight="1" x14ac:dyDescent="0.2">
      <c r="D84" s="63"/>
      <c r="E84" s="134">
        <f ca="1">SUM(E75:E83)</f>
        <v>64896.42</v>
      </c>
      <c r="F84" s="64"/>
      <c r="G84" s="65"/>
    </row>
    <row r="85" spans="2:7" x14ac:dyDescent="0.25">
      <c r="B85" s="14" t="s">
        <v>55</v>
      </c>
    </row>
    <row r="88" spans="2:7" x14ac:dyDescent="0.25">
      <c r="B88" s="9" t="s">
        <v>47</v>
      </c>
      <c r="C88" s="9"/>
      <c r="D88" s="9" t="s">
        <v>46</v>
      </c>
      <c r="E88" s="9" t="s">
        <v>45</v>
      </c>
      <c r="F88" s="9" t="s">
        <v>48</v>
      </c>
      <c r="G88" s="9" t="s">
        <v>82</v>
      </c>
    </row>
    <row r="89" spans="2:7" x14ac:dyDescent="0.25">
      <c r="B89" s="5" t="s">
        <v>41</v>
      </c>
      <c r="C89" s="5"/>
      <c r="D89" s="86">
        <v>2300000</v>
      </c>
      <c r="E89" s="135">
        <f>D96</f>
        <v>1428964.6099999999</v>
      </c>
      <c r="F89" s="6">
        <f>E89/D89</f>
        <v>0.6212889608695652</v>
      </c>
      <c r="G89" s="47">
        <f>IF(F89&lt;$F$42,$F$40,IF(F89&lt;$G$42,$G$40,IF(F89&lt;$H$42,$H$40,IF(F89&lt;$I$42,$I$40,$J$40))))</f>
        <v>0.7</v>
      </c>
    </row>
    <row r="90" spans="2:7" x14ac:dyDescent="0.25">
      <c r="B90" s="5" t="s">
        <v>42</v>
      </c>
      <c r="C90" s="5"/>
      <c r="D90" s="86">
        <v>500000</v>
      </c>
      <c r="E90" s="135">
        <f>D101</f>
        <v>290810.34000000003</v>
      </c>
      <c r="F90" s="6">
        <f t="shared" ref="F90:F91" si="20">E90/D90</f>
        <v>0.58162068</v>
      </c>
      <c r="G90" s="47">
        <f>IF(F90&lt;$F$42,$F$40,IF(F90&lt;$G$42,$G$40,IF(F90&lt;$H$42,$H$40,IF(F90&lt;$I$42,$I$40,$J$40))))</f>
        <v>0.7</v>
      </c>
    </row>
    <row r="91" spans="2:7" x14ac:dyDescent="0.25">
      <c r="B91" s="5" t="s">
        <v>43</v>
      </c>
      <c r="C91" s="5"/>
      <c r="D91" s="86">
        <v>1700000</v>
      </c>
      <c r="E91" s="135">
        <f>D107</f>
        <v>1533450.65</v>
      </c>
      <c r="F91" s="6">
        <f t="shared" si="20"/>
        <v>0.90202979411764705</v>
      </c>
      <c r="G91" s="47">
        <f>IF(F91&lt;$F$42,$F$40,IF(F91&lt;$G$42,$G$40,IF(F91&lt;$H$42,$H$40,IF(F91&lt;$I$42,$I$40,$J$40))))</f>
        <v>1</v>
      </c>
    </row>
    <row r="92" spans="2:7" x14ac:dyDescent="0.25">
      <c r="B92" s="14" t="s">
        <v>56</v>
      </c>
    </row>
    <row r="94" spans="2:7" x14ac:dyDescent="0.25">
      <c r="B94" s="119" t="s">
        <v>86</v>
      </c>
      <c r="C94" s="120" t="s">
        <v>1</v>
      </c>
      <c r="D94" s="171" t="s">
        <v>54</v>
      </c>
      <c r="E94" s="10"/>
    </row>
    <row r="95" spans="2:7" x14ac:dyDescent="0.25">
      <c r="B95" s="119" t="s">
        <v>0</v>
      </c>
      <c r="C95" s="119" t="s">
        <v>3</v>
      </c>
      <c r="D95" s="171"/>
    </row>
    <row r="96" spans="2:7" x14ac:dyDescent="0.25">
      <c r="B96" s="121" t="s">
        <v>41</v>
      </c>
      <c r="C96" s="122">
        <v>1428964.61</v>
      </c>
      <c r="D96" s="123">
        <f>SUM(C97:C100)</f>
        <v>1428964.6099999999</v>
      </c>
    </row>
    <row r="97" spans="1:6" x14ac:dyDescent="0.25">
      <c r="B97" s="124" t="s">
        <v>11</v>
      </c>
      <c r="C97" s="125">
        <v>574637.6</v>
      </c>
      <c r="D97" s="21"/>
    </row>
    <row r="98" spans="1:6" x14ac:dyDescent="0.25">
      <c r="B98" s="124" t="s">
        <v>96</v>
      </c>
      <c r="C98" s="126">
        <v>6567</v>
      </c>
      <c r="D98" s="21"/>
    </row>
    <row r="99" spans="1:6" x14ac:dyDescent="0.25">
      <c r="B99" s="124" t="s">
        <v>25</v>
      </c>
      <c r="C99" s="122">
        <v>835533.01</v>
      </c>
      <c r="D99" s="21"/>
    </row>
    <row r="100" spans="1:6" x14ac:dyDescent="0.25">
      <c r="B100" s="124" t="s">
        <v>27</v>
      </c>
      <c r="C100" s="126">
        <v>12227</v>
      </c>
      <c r="D100" s="21"/>
    </row>
    <row r="101" spans="1:6" x14ac:dyDescent="0.25">
      <c r="B101" s="121" t="s">
        <v>42</v>
      </c>
      <c r="C101" s="122">
        <v>290810.34000000003</v>
      </c>
      <c r="D101" s="127">
        <f>SUM(C102:C106)</f>
        <v>290810.34000000003</v>
      </c>
    </row>
    <row r="102" spans="1:6" x14ac:dyDescent="0.25">
      <c r="B102" s="124" t="s">
        <v>11</v>
      </c>
      <c r="C102" s="122">
        <v>51134.25</v>
      </c>
      <c r="D102" s="21"/>
    </row>
    <row r="103" spans="1:6" x14ac:dyDescent="0.25">
      <c r="B103" s="124" t="s">
        <v>24</v>
      </c>
      <c r="C103" s="122">
        <v>76801.16</v>
      </c>
      <c r="D103" s="21"/>
    </row>
    <row r="104" spans="1:6" x14ac:dyDescent="0.25">
      <c r="B104" s="124" t="s">
        <v>96</v>
      </c>
      <c r="C104" s="122">
        <v>52001.38</v>
      </c>
      <c r="D104" s="21"/>
    </row>
    <row r="105" spans="1:6" x14ac:dyDescent="0.25">
      <c r="B105" s="124" t="s">
        <v>25</v>
      </c>
      <c r="C105" s="122">
        <v>61914.85</v>
      </c>
      <c r="D105" s="21"/>
    </row>
    <row r="106" spans="1:6" x14ac:dyDescent="0.25">
      <c r="B106" s="124" t="s">
        <v>104</v>
      </c>
      <c r="C106" s="125">
        <v>48958.7</v>
      </c>
      <c r="D106" s="21"/>
      <c r="F106" s="39"/>
    </row>
    <row r="107" spans="1:6" x14ac:dyDescent="0.25">
      <c r="B107" s="121" t="s">
        <v>43</v>
      </c>
      <c r="C107" s="122">
        <v>1533450.65</v>
      </c>
      <c r="D107" s="127">
        <f>SUM(C108:C109)</f>
        <v>1533450.65</v>
      </c>
    </row>
    <row r="108" spans="1:6" x14ac:dyDescent="0.25">
      <c r="B108" s="124" t="s">
        <v>24</v>
      </c>
      <c r="C108" s="122">
        <v>899842.09</v>
      </c>
      <c r="D108" s="21"/>
    </row>
    <row r="109" spans="1:6" x14ac:dyDescent="0.25">
      <c r="B109" s="124" t="s">
        <v>104</v>
      </c>
      <c r="C109" s="122">
        <v>633608.56000000006</v>
      </c>
      <c r="D109" s="123"/>
    </row>
    <row r="110" spans="1:6" x14ac:dyDescent="0.25">
      <c r="A110" s="111"/>
      <c r="B110" s="120" t="s">
        <v>1</v>
      </c>
      <c r="C110" s="128">
        <v>3253225.6</v>
      </c>
      <c r="D110" s="21"/>
    </row>
    <row r="111" spans="1:6" x14ac:dyDescent="0.25">
      <c r="A111" s="111"/>
      <c r="B111" s="112"/>
      <c r="C111" s="114"/>
      <c r="D111" s="111"/>
      <c r="E111" s="40"/>
    </row>
    <row r="112" spans="1:6" x14ac:dyDescent="0.25">
      <c r="A112" s="111"/>
      <c r="B112" s="112"/>
      <c r="C112" s="113"/>
      <c r="D112" s="111"/>
    </row>
    <row r="113" spans="1:4" x14ac:dyDescent="0.25">
      <c r="A113" s="111"/>
      <c r="B113" s="115"/>
      <c r="C113" s="116"/>
      <c r="D113" s="111"/>
    </row>
    <row r="114" spans="1:4" x14ac:dyDescent="0.25">
      <c r="B114" s="119" t="s">
        <v>0</v>
      </c>
      <c r="C114" s="120" t="s">
        <v>1</v>
      </c>
      <c r="D114" s="129" t="s">
        <v>87</v>
      </c>
    </row>
    <row r="115" spans="1:4" x14ac:dyDescent="0.25">
      <c r="B115" s="119" t="s">
        <v>2</v>
      </c>
      <c r="C115" s="119" t="s">
        <v>3</v>
      </c>
      <c r="D115" s="21"/>
    </row>
    <row r="116" spans="1:4" x14ac:dyDescent="0.25">
      <c r="B116" s="121" t="s">
        <v>11</v>
      </c>
      <c r="C116" s="122">
        <v>13968.57</v>
      </c>
      <c r="D116" s="21"/>
    </row>
    <row r="117" spans="1:4" x14ac:dyDescent="0.25">
      <c r="B117" s="130" t="s">
        <v>6</v>
      </c>
      <c r="C117" s="122">
        <v>13004.57</v>
      </c>
      <c r="D117" s="21"/>
    </row>
    <row r="118" spans="1:4" x14ac:dyDescent="0.25">
      <c r="B118" s="130" t="s">
        <v>22</v>
      </c>
      <c r="C118" s="131">
        <v>964</v>
      </c>
      <c r="D118" s="21"/>
    </row>
    <row r="119" spans="1:4" x14ac:dyDescent="0.25">
      <c r="B119" s="121" t="s">
        <v>24</v>
      </c>
      <c r="C119" s="122">
        <v>14470.46</v>
      </c>
      <c r="D119" s="21"/>
    </row>
    <row r="120" spans="1:4" x14ac:dyDescent="0.25">
      <c r="B120" s="130" t="s">
        <v>12</v>
      </c>
      <c r="C120" s="131">
        <v>362.7</v>
      </c>
      <c r="D120" s="21"/>
    </row>
    <row r="121" spans="1:4" x14ac:dyDescent="0.25">
      <c r="B121" s="130" t="s">
        <v>6</v>
      </c>
      <c r="C121" s="122">
        <v>10947.88</v>
      </c>
      <c r="D121" s="21"/>
    </row>
    <row r="122" spans="1:4" x14ac:dyDescent="0.25">
      <c r="B122" s="130" t="s">
        <v>22</v>
      </c>
      <c r="C122" s="122">
        <v>3159.88</v>
      </c>
      <c r="D122" s="21"/>
    </row>
    <row r="123" spans="1:4" x14ac:dyDescent="0.25">
      <c r="B123" s="121" t="s">
        <v>96</v>
      </c>
      <c r="C123" s="122">
        <v>1485</v>
      </c>
      <c r="D123" s="21"/>
    </row>
    <row r="124" spans="1:4" x14ac:dyDescent="0.25">
      <c r="B124" s="130" t="s">
        <v>6</v>
      </c>
      <c r="C124" s="122">
        <v>1485</v>
      </c>
      <c r="D124" s="21"/>
    </row>
    <row r="125" spans="1:4" x14ac:dyDescent="0.25">
      <c r="B125" s="121" t="s">
        <v>25</v>
      </c>
      <c r="C125" s="122">
        <v>26456.3</v>
      </c>
      <c r="D125" s="21"/>
    </row>
    <row r="126" spans="1:4" ht="14.25" customHeight="1" x14ac:dyDescent="0.25">
      <c r="B126" s="130" t="s">
        <v>12</v>
      </c>
      <c r="C126" s="131">
        <v>227</v>
      </c>
      <c r="D126" s="21"/>
    </row>
    <row r="127" spans="1:4" x14ac:dyDescent="0.25">
      <c r="B127" s="130" t="s">
        <v>6</v>
      </c>
      <c r="C127" s="122">
        <v>22691.78</v>
      </c>
      <c r="D127" s="21"/>
    </row>
    <row r="128" spans="1:4" x14ac:dyDescent="0.25">
      <c r="B128" s="130" t="s">
        <v>22</v>
      </c>
      <c r="C128" s="122">
        <v>3537.52</v>
      </c>
      <c r="D128" s="21"/>
    </row>
    <row r="129" spans="2:4" x14ac:dyDescent="0.25">
      <c r="B129" s="121" t="s">
        <v>104</v>
      </c>
      <c r="C129" s="122">
        <v>8516.09</v>
      </c>
      <c r="D129" s="21"/>
    </row>
    <row r="130" spans="2:4" x14ac:dyDescent="0.25">
      <c r="B130" s="130" t="s">
        <v>6</v>
      </c>
      <c r="C130" s="122">
        <v>6910.39</v>
      </c>
      <c r="D130" s="21"/>
    </row>
    <row r="131" spans="2:4" x14ac:dyDescent="0.25">
      <c r="B131" s="130" t="s">
        <v>22</v>
      </c>
      <c r="C131" s="122">
        <v>1605.7</v>
      </c>
      <c r="D131" s="21"/>
    </row>
    <row r="132" spans="2:4" x14ac:dyDescent="0.25">
      <c r="B132" s="120" t="s">
        <v>1</v>
      </c>
      <c r="C132" s="132">
        <v>64896.42</v>
      </c>
      <c r="D132" s="21"/>
    </row>
    <row r="133" spans="2:4" x14ac:dyDescent="0.25">
      <c r="B133" s="130"/>
      <c r="C133" s="131"/>
      <c r="D133" s="21"/>
    </row>
    <row r="134" spans="2:4" x14ac:dyDescent="0.25">
      <c r="B134" s="120"/>
      <c r="C134" s="132"/>
      <c r="D134" s="21"/>
    </row>
    <row r="135" spans="2:4" s="111" customFormat="1" x14ac:dyDescent="0.25">
      <c r="B135" s="130"/>
      <c r="C135" s="131"/>
      <c r="D135" s="21"/>
    </row>
    <row r="136" spans="2:4" s="111" customFormat="1" x14ac:dyDescent="0.25">
      <c r="B136" s="130"/>
      <c r="C136" s="131"/>
      <c r="D136" s="21"/>
    </row>
    <row r="137" spans="2:4" s="111" customFormat="1" x14ac:dyDescent="0.25">
      <c r="B137" s="130"/>
      <c r="C137" s="122"/>
      <c r="D137" s="21"/>
    </row>
    <row r="138" spans="2:4" s="111" customFormat="1" x14ac:dyDescent="0.25">
      <c r="B138" s="120"/>
      <c r="C138" s="132"/>
      <c r="D138" s="21"/>
    </row>
    <row r="146" spans="1:8" x14ac:dyDescent="0.25">
      <c r="B146" s="165" t="s">
        <v>236</v>
      </c>
      <c r="C146" s="165"/>
    </row>
    <row r="147" spans="1:8" x14ac:dyDescent="0.25">
      <c r="A147" t="s">
        <v>227</v>
      </c>
    </row>
    <row r="148" spans="1:8" x14ac:dyDescent="0.25">
      <c r="A148" t="s">
        <v>0</v>
      </c>
      <c r="B148" t="s">
        <v>225</v>
      </c>
      <c r="C148" t="s">
        <v>224</v>
      </c>
      <c r="D148" t="s">
        <v>223</v>
      </c>
      <c r="E148" t="s">
        <v>46</v>
      </c>
      <c r="F148" t="s">
        <v>48</v>
      </c>
      <c r="G148" t="s">
        <v>228</v>
      </c>
      <c r="H148" s="165" t="s">
        <v>233</v>
      </c>
    </row>
    <row r="149" spans="1:8" x14ac:dyDescent="0.25">
      <c r="A149" s="145" t="s">
        <v>24</v>
      </c>
      <c r="B149" s="175">
        <v>1028030.05</v>
      </c>
      <c r="C149" s="147">
        <v>215</v>
      </c>
      <c r="D149">
        <f t="shared" ref="D149:D154" si="21">B149/C149</f>
        <v>4781.5351162790703</v>
      </c>
      <c r="E149">
        <v>5000</v>
      </c>
      <c r="F149" s="150">
        <f>D149/E149</f>
        <v>0.95630702325581407</v>
      </c>
      <c r="G149">
        <v>0.9</v>
      </c>
      <c r="H149" s="165">
        <v>0.9</v>
      </c>
    </row>
    <row r="150" spans="1:8" x14ac:dyDescent="0.25">
      <c r="A150" s="145" t="s">
        <v>11</v>
      </c>
      <c r="B150" s="146">
        <v>625771.85</v>
      </c>
      <c r="C150" s="147">
        <v>182</v>
      </c>
      <c r="D150">
        <f t="shared" si="21"/>
        <v>3438.3068681318682</v>
      </c>
      <c r="E150">
        <v>5000</v>
      </c>
      <c r="F150" s="150">
        <f t="shared" ref="F150:F154" si="22">D150/E150</f>
        <v>0.6876613736263737</v>
      </c>
      <c r="G150">
        <v>0.6</v>
      </c>
      <c r="H150" s="165">
        <v>0.6</v>
      </c>
    </row>
    <row r="151" spans="1:8" x14ac:dyDescent="0.25">
      <c r="A151" s="145" t="s">
        <v>96</v>
      </c>
      <c r="B151" s="146">
        <v>58568.38</v>
      </c>
      <c r="C151" s="147">
        <v>15</v>
      </c>
      <c r="D151">
        <f t="shared" si="21"/>
        <v>3904.5586666666663</v>
      </c>
      <c r="E151">
        <v>5000</v>
      </c>
      <c r="F151" s="150">
        <f t="shared" si="22"/>
        <v>0.7809117333333333</v>
      </c>
      <c r="G151">
        <v>0.7</v>
      </c>
      <c r="H151" s="165">
        <v>0.7</v>
      </c>
    </row>
    <row r="152" spans="1:8" x14ac:dyDescent="0.25">
      <c r="A152" s="145" t="s">
        <v>25</v>
      </c>
      <c r="B152" s="146">
        <v>897447.86</v>
      </c>
      <c r="C152" s="147">
        <v>214</v>
      </c>
      <c r="D152">
        <f t="shared" si="21"/>
        <v>4193.6815887850471</v>
      </c>
      <c r="E152">
        <v>5000</v>
      </c>
      <c r="F152" s="150">
        <f t="shared" si="22"/>
        <v>0.83873631775700941</v>
      </c>
      <c r="G152">
        <v>0.7</v>
      </c>
      <c r="H152" s="165">
        <v>0.7</v>
      </c>
    </row>
    <row r="153" spans="1:8" x14ac:dyDescent="0.25">
      <c r="A153" s="145" t="s">
        <v>104</v>
      </c>
      <c r="B153" s="175">
        <v>667637.39</v>
      </c>
      <c r="C153" s="147">
        <v>149</v>
      </c>
      <c r="D153">
        <f t="shared" si="21"/>
        <v>4480.7878523489935</v>
      </c>
      <c r="E153">
        <v>5000</v>
      </c>
      <c r="F153" s="150">
        <f t="shared" si="22"/>
        <v>0.89615757046979871</v>
      </c>
      <c r="G153">
        <v>0.8</v>
      </c>
      <c r="H153" s="165">
        <v>0.8</v>
      </c>
    </row>
    <row r="154" spans="1:8" x14ac:dyDescent="0.25">
      <c r="A154" s="145" t="s">
        <v>27</v>
      </c>
      <c r="B154" s="148">
        <v>12227</v>
      </c>
      <c r="C154" s="147">
        <v>1</v>
      </c>
      <c r="D154">
        <f t="shared" si="21"/>
        <v>12227</v>
      </c>
      <c r="E154">
        <v>5000</v>
      </c>
      <c r="F154" s="150">
        <f t="shared" si="22"/>
        <v>2.4453999999999998</v>
      </c>
      <c r="G154">
        <f t="shared" ref="G152:G154" si="23">IF(F154&lt;$F$42,$F$40,IF(F154&lt;$G$42,$G$40,IF(F154&lt;$H$42,$H$40,IF(F154&lt;$I$42,$I$40,$J$40))))</f>
        <v>1</v>
      </c>
      <c r="H154" s="165">
        <v>1</v>
      </c>
    </row>
    <row r="155" spans="1:8" x14ac:dyDescent="0.25">
      <c r="B155" s="141">
        <f>SUM(B149:B154)</f>
        <v>3289682.53</v>
      </c>
    </row>
    <row r="156" spans="1:8" x14ac:dyDescent="0.25">
      <c r="B156" s="141"/>
    </row>
    <row r="157" spans="1:8" x14ac:dyDescent="0.25">
      <c r="A157" s="149" t="s">
        <v>226</v>
      </c>
    </row>
    <row r="158" spans="1:8" x14ac:dyDescent="0.25">
      <c r="A158" s="142" t="s">
        <v>24</v>
      </c>
      <c r="B158" s="143">
        <v>-27373.02</v>
      </c>
      <c r="C158" s="144">
        <v>-5</v>
      </c>
    </row>
    <row r="159" spans="1:8" x14ac:dyDescent="0.25">
      <c r="A159" s="142" t="s">
        <v>11</v>
      </c>
      <c r="B159" s="142"/>
      <c r="C159" s="142"/>
    </row>
    <row r="160" spans="1:8" x14ac:dyDescent="0.25">
      <c r="A160" s="142" t="s">
        <v>96</v>
      </c>
      <c r="B160" s="142"/>
      <c r="C160" s="142"/>
    </row>
    <row r="161" spans="1:3" x14ac:dyDescent="0.25">
      <c r="A161" s="142" t="s">
        <v>25</v>
      </c>
      <c r="B161" s="142"/>
      <c r="C161" s="142"/>
    </row>
    <row r="162" spans="1:3" x14ac:dyDescent="0.25">
      <c r="A162" s="142" t="s">
        <v>104</v>
      </c>
      <c r="B162" s="143">
        <v>-9083.91</v>
      </c>
      <c r="C162" s="144">
        <v>-4</v>
      </c>
    </row>
    <row r="163" spans="1:3" x14ac:dyDescent="0.25">
      <c r="A163" s="142" t="s">
        <v>27</v>
      </c>
      <c r="B163" s="142"/>
      <c r="C163" s="142"/>
    </row>
    <row r="164" spans="1:3" x14ac:dyDescent="0.25">
      <c r="B164" s="7">
        <f>SUM(B158:B163)</f>
        <v>-36456.93</v>
      </c>
      <c r="C164" s="39">
        <f>SUM(C158:C163)</f>
        <v>-9</v>
      </c>
    </row>
  </sheetData>
  <mergeCells count="3">
    <mergeCell ref="B39:D39"/>
    <mergeCell ref="F39:J39"/>
    <mergeCell ref="D94:D95"/>
  </mergeCells>
  <pageMargins left="0.70866141732283472" right="0.70866141732283472" top="0.35433070866141736" bottom="0.35433070866141736" header="0.31496062992125984" footer="0.31496062992125984"/>
  <pageSetup paperSize="9" scale="4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"/>
  <sheetViews>
    <sheetView zoomScaleNormal="100" workbookViewId="0">
      <selection activeCell="F10" sqref="F10"/>
    </sheetView>
  </sheetViews>
  <sheetFormatPr defaultColWidth="9.140625" defaultRowHeight="15" x14ac:dyDescent="0.2"/>
  <cols>
    <col min="1" max="1" width="58" style="54" customWidth="1"/>
    <col min="2" max="2" width="15.42578125" style="54" bestFit="1" customWidth="1"/>
    <col min="3" max="3" width="8.42578125" style="54" bestFit="1" customWidth="1"/>
    <col min="4" max="4" width="12.7109375" style="80" customWidth="1"/>
    <col min="5" max="6" width="9.140625" style="54"/>
    <col min="7" max="7" width="13.140625" style="54" bestFit="1" customWidth="1"/>
    <col min="8" max="16384" width="9.140625" style="54"/>
  </cols>
  <sheetData>
    <row r="1" spans="1:5" ht="15.75" customHeight="1" x14ac:dyDescent="0.25">
      <c r="A1" s="53" t="s">
        <v>232</v>
      </c>
    </row>
    <row r="2" spans="1:5" ht="15.75" customHeight="1" x14ac:dyDescent="0.2"/>
    <row r="3" spans="1:5" ht="15.75" customHeight="1" x14ac:dyDescent="0.2">
      <c r="A3" s="87" t="s">
        <v>0</v>
      </c>
      <c r="B3" s="88" t="s">
        <v>1</v>
      </c>
      <c r="C3" s="172" t="s">
        <v>79</v>
      </c>
      <c r="D3" s="174"/>
      <c r="E3" s="58"/>
    </row>
    <row r="4" spans="1:5" ht="15.75" customHeight="1" x14ac:dyDescent="0.2">
      <c r="A4" s="87" t="s">
        <v>2</v>
      </c>
      <c r="B4" s="87" t="s">
        <v>3</v>
      </c>
      <c r="C4" s="173"/>
      <c r="D4" s="174"/>
      <c r="E4" s="58"/>
    </row>
    <row r="5" spans="1:5" s="53" customFormat="1" ht="15.75" customHeight="1" x14ac:dyDescent="0.25">
      <c r="A5" s="89" t="s">
        <v>11</v>
      </c>
      <c r="B5" s="90">
        <v>625771.85</v>
      </c>
      <c r="C5" s="59">
        <f>IFERROR(VLOOKUP(A5,'Бонусы-Группы'!$B$3:$C$16,2,FALSE),0)</f>
        <v>0</v>
      </c>
      <c r="D5" s="138">
        <f>SUM(D6:D27)</f>
        <v>16247.703600000003</v>
      </c>
      <c r="E5" s="60"/>
    </row>
    <row r="6" spans="1:5" ht="15.75" customHeight="1" x14ac:dyDescent="0.2">
      <c r="A6" s="91" t="s">
        <v>14</v>
      </c>
      <c r="B6" s="92">
        <v>1187.5</v>
      </c>
      <c r="C6" s="59">
        <f>IFERROR(VLOOKUP(A6,'Бонусы-Группы'!$B$3:$C$16,2,FALSE),0)</f>
        <v>0.02</v>
      </c>
      <c r="D6" s="81">
        <f t="shared" ref="D6:D69" si="0">B6*C6</f>
        <v>23.75</v>
      </c>
      <c r="E6" s="58"/>
    </row>
    <row r="7" spans="1:5" ht="15.75" customHeight="1" x14ac:dyDescent="0.2">
      <c r="A7" s="91" t="s">
        <v>6</v>
      </c>
      <c r="B7" s="92">
        <v>13004.57</v>
      </c>
      <c r="C7" s="59">
        <f>IFERROR(VLOOKUP(A7,'Бонусы-Группы'!$B$3:$C$16,2,FALSE),0)</f>
        <v>0.03</v>
      </c>
      <c r="D7" s="81">
        <f t="shared" si="0"/>
        <v>390.13709999999998</v>
      </c>
      <c r="E7" s="58"/>
    </row>
    <row r="8" spans="1:5" ht="15.75" customHeight="1" x14ac:dyDescent="0.2">
      <c r="A8" s="91" t="s">
        <v>15</v>
      </c>
      <c r="B8" s="94">
        <v>298</v>
      </c>
      <c r="C8" s="59">
        <f>IFERROR(VLOOKUP(A8,'Бонусы-Группы'!$B$3:$C$16,2,FALSE),0)</f>
        <v>0.01</v>
      </c>
      <c r="D8" s="81">
        <f t="shared" si="0"/>
        <v>2.98</v>
      </c>
      <c r="E8" s="58"/>
    </row>
    <row r="9" spans="1:5" ht="15.75" customHeight="1" x14ac:dyDescent="0.2">
      <c r="A9" s="93" t="s">
        <v>105</v>
      </c>
      <c r="B9" s="94">
        <v>298</v>
      </c>
      <c r="C9" s="59">
        <f>IFERROR(VLOOKUP(A9,'Бонусы-Группы'!$B$3:$C$16,2,FALSE),0)</f>
        <v>0</v>
      </c>
      <c r="D9" s="81">
        <f t="shared" si="0"/>
        <v>0</v>
      </c>
      <c r="E9" s="58"/>
    </row>
    <row r="10" spans="1:5" ht="15.75" customHeight="1" x14ac:dyDescent="0.2">
      <c r="A10" s="91" t="s">
        <v>16</v>
      </c>
      <c r="B10" s="92">
        <v>55324.25</v>
      </c>
      <c r="C10" s="59">
        <f>IFERROR(VLOOKUP(A10,'Бонусы-Группы'!$B$3:$C$16,2,FALSE),0)</f>
        <v>0.04</v>
      </c>
      <c r="D10" s="81">
        <f>B10*C10</f>
        <v>2212.9700000000003</v>
      </c>
      <c r="E10" s="58"/>
    </row>
    <row r="11" spans="1:5" ht="15.75" customHeight="1" x14ac:dyDescent="0.2">
      <c r="A11" s="93" t="s">
        <v>17</v>
      </c>
      <c r="B11" s="92">
        <v>42641.25</v>
      </c>
      <c r="C11" s="59">
        <f>IFERROR(VLOOKUP(A11,'Бонусы-Группы'!$B$3:$C$16,2,FALSE),0)</f>
        <v>0</v>
      </c>
      <c r="D11" s="81">
        <f t="shared" si="0"/>
        <v>0</v>
      </c>
      <c r="E11" s="58"/>
    </row>
    <row r="12" spans="1:5" ht="15.75" customHeight="1" x14ac:dyDescent="0.2">
      <c r="A12" s="95" t="s">
        <v>7</v>
      </c>
      <c r="B12" s="92">
        <v>40441.25</v>
      </c>
      <c r="C12" s="59">
        <f>IFERROR(VLOOKUP(A12,'Бонусы-Группы'!$B$3:$C$16,2,FALSE),0)</f>
        <v>0</v>
      </c>
      <c r="D12" s="81">
        <f t="shared" si="0"/>
        <v>0</v>
      </c>
      <c r="E12" s="58"/>
    </row>
    <row r="13" spans="1:5" s="53" customFormat="1" ht="15.75" customHeight="1" x14ac:dyDescent="0.25">
      <c r="A13" s="95" t="s">
        <v>18</v>
      </c>
      <c r="B13" s="92">
        <v>2200</v>
      </c>
      <c r="C13" s="59">
        <f>IFERROR(VLOOKUP(A13,'Бонусы-Группы'!$B$3:$C$16,2,FALSE),0)</f>
        <v>0</v>
      </c>
      <c r="D13" s="81">
        <f t="shared" si="0"/>
        <v>0</v>
      </c>
      <c r="E13" s="60"/>
    </row>
    <row r="14" spans="1:5" ht="15.75" customHeight="1" x14ac:dyDescent="0.2">
      <c r="A14" s="93" t="s">
        <v>19</v>
      </c>
      <c r="B14" s="92">
        <v>11571</v>
      </c>
      <c r="C14" s="59">
        <f>IFERROR(VLOOKUP(A14,'Бонусы-Группы'!$B$3:$C$16,2,FALSE),0)</f>
        <v>0</v>
      </c>
      <c r="D14" s="81">
        <f t="shared" si="0"/>
        <v>0</v>
      </c>
      <c r="E14" s="58"/>
    </row>
    <row r="15" spans="1:5" ht="15.75" customHeight="1" x14ac:dyDescent="0.2">
      <c r="A15" s="95" t="s">
        <v>10</v>
      </c>
      <c r="B15" s="92">
        <v>9868</v>
      </c>
      <c r="C15" s="59">
        <f>IFERROR(VLOOKUP(A15,'Бонусы-Группы'!$B$3:$C$16,2,FALSE),0)</f>
        <v>0</v>
      </c>
      <c r="D15" s="81">
        <f t="shared" si="0"/>
        <v>0</v>
      </c>
      <c r="E15" s="58"/>
    </row>
    <row r="16" spans="1:5" ht="15.75" customHeight="1" x14ac:dyDescent="0.2">
      <c r="A16" s="95" t="s">
        <v>20</v>
      </c>
      <c r="B16" s="92">
        <v>1703</v>
      </c>
      <c r="C16" s="59">
        <f>IFERROR(VLOOKUP(A16,'Бонусы-Группы'!$B$3:$C$16,2,FALSE),0)</f>
        <v>0</v>
      </c>
      <c r="D16" s="81">
        <f t="shared" si="0"/>
        <v>0</v>
      </c>
      <c r="E16" s="58"/>
    </row>
    <row r="17" spans="1:5" ht="15.75" customHeight="1" x14ac:dyDescent="0.2">
      <c r="A17" s="93" t="s">
        <v>88</v>
      </c>
      <c r="B17" s="92">
        <v>1112</v>
      </c>
      <c r="C17" s="59">
        <f>IFERROR(VLOOKUP(A17,'Бонусы-Группы'!$B$3:$C$16,2,FALSE),0)</f>
        <v>0</v>
      </c>
      <c r="D17" s="81">
        <f t="shared" si="0"/>
        <v>0</v>
      </c>
      <c r="E17" s="58"/>
    </row>
    <row r="18" spans="1:5" ht="15.75" customHeight="1" x14ac:dyDescent="0.2">
      <c r="A18" s="91" t="s">
        <v>4</v>
      </c>
      <c r="B18" s="92">
        <v>493959.18</v>
      </c>
      <c r="C18" s="59">
        <f>IFERROR(VLOOKUP(A18,'Бонусы-Группы'!$B$3:$C$16,2,FALSE),0)</f>
        <v>2.5000000000000001E-2</v>
      </c>
      <c r="D18" s="81">
        <f t="shared" si="0"/>
        <v>12348.979500000001</v>
      </c>
      <c r="E18" s="58"/>
    </row>
    <row r="19" spans="1:5" ht="15.75" customHeight="1" x14ac:dyDescent="0.2">
      <c r="A19" s="93" t="s">
        <v>7</v>
      </c>
      <c r="B19" s="92">
        <v>349417.93</v>
      </c>
      <c r="C19" s="59">
        <f>IFERROR(VLOOKUP(A19,'Бонусы-Группы'!$B$3:$C$16,2,FALSE),0)</f>
        <v>0</v>
      </c>
      <c r="D19" s="81">
        <f t="shared" si="0"/>
        <v>0</v>
      </c>
      <c r="E19" s="58"/>
    </row>
    <row r="20" spans="1:5" ht="15.75" customHeight="1" x14ac:dyDescent="0.2">
      <c r="A20" s="93" t="s">
        <v>21</v>
      </c>
      <c r="B20" s="92">
        <v>1299</v>
      </c>
      <c r="C20" s="59">
        <f>IFERROR(VLOOKUP(A20,'Бонусы-Группы'!$B$3:$C$16,2,FALSE),0)</f>
        <v>0</v>
      </c>
      <c r="D20" s="81">
        <f t="shared" si="0"/>
        <v>0</v>
      </c>
      <c r="E20" s="58"/>
    </row>
    <row r="21" spans="1:5" x14ac:dyDescent="0.2">
      <c r="A21" s="93" t="s">
        <v>5</v>
      </c>
      <c r="B21" s="92">
        <v>127501.7</v>
      </c>
      <c r="C21" s="59">
        <f>IFERROR(VLOOKUP(A21,'Бонусы-Группы'!$B$3:$C$16,2,FALSE),0)</f>
        <v>0</v>
      </c>
      <c r="D21" s="81">
        <f t="shared" si="0"/>
        <v>0</v>
      </c>
      <c r="E21" s="58"/>
    </row>
    <row r="22" spans="1:5" x14ac:dyDescent="0.2">
      <c r="A22" s="93" t="s">
        <v>8</v>
      </c>
      <c r="B22" s="92">
        <v>15740.55</v>
      </c>
      <c r="C22" s="59">
        <f>IFERROR(VLOOKUP(A22,'Бонусы-Группы'!$B$3:$C$16,2,FALSE),0)</f>
        <v>0</v>
      </c>
      <c r="D22" s="81">
        <f t="shared" si="0"/>
        <v>0</v>
      </c>
      <c r="E22" s="58"/>
    </row>
    <row r="23" spans="1:5" x14ac:dyDescent="0.2">
      <c r="A23" s="91" t="s">
        <v>9</v>
      </c>
      <c r="B23" s="92">
        <v>61034.35</v>
      </c>
      <c r="C23" s="59">
        <f>IFERROR(VLOOKUP(A23,'Бонусы-Группы'!$B$3:$C$16,2,FALSE),0)</f>
        <v>0.02</v>
      </c>
      <c r="D23" s="81">
        <f t="shared" si="0"/>
        <v>1220.6869999999999</v>
      </c>
      <c r="E23" s="61"/>
    </row>
    <row r="24" spans="1:5" x14ac:dyDescent="0.2">
      <c r="A24" s="93" t="s">
        <v>21</v>
      </c>
      <c r="B24" s="92">
        <v>3417.1</v>
      </c>
      <c r="C24" s="59">
        <f>IFERROR(VLOOKUP(A24,'Бонусы-Группы'!$B$3:$C$16,2,FALSE),0)</f>
        <v>0</v>
      </c>
      <c r="D24" s="81">
        <f t="shared" si="0"/>
        <v>0</v>
      </c>
      <c r="E24" s="58"/>
    </row>
    <row r="25" spans="1:5" x14ac:dyDescent="0.2">
      <c r="A25" s="93" t="s">
        <v>10</v>
      </c>
      <c r="B25" s="92">
        <v>53171.25</v>
      </c>
      <c r="C25" s="59">
        <f>IFERROR(VLOOKUP(A25,'Бонусы-Группы'!$B$3:$C$16,2,FALSE),0)</f>
        <v>0</v>
      </c>
      <c r="D25" s="81">
        <f t="shared" si="0"/>
        <v>0</v>
      </c>
      <c r="E25" s="58"/>
    </row>
    <row r="26" spans="1:5" x14ac:dyDescent="0.2">
      <c r="A26" s="93" t="s">
        <v>8</v>
      </c>
      <c r="B26" s="92">
        <v>4446</v>
      </c>
      <c r="C26" s="59">
        <f>IFERROR(VLOOKUP(A26,'Бонусы-Группы'!$B$3:$C$16,2,FALSE),0)</f>
        <v>0</v>
      </c>
      <c r="D26" s="81">
        <f t="shared" si="0"/>
        <v>0</v>
      </c>
      <c r="E26" s="58"/>
    </row>
    <row r="27" spans="1:5" x14ac:dyDescent="0.2">
      <c r="A27" s="91" t="s">
        <v>22</v>
      </c>
      <c r="B27" s="94">
        <v>964</v>
      </c>
      <c r="C27" s="59">
        <f>IFERROR(VLOOKUP(A27,'Бонусы-Группы'!$B$3:$C$16,2,FALSE),0)</f>
        <v>0.05</v>
      </c>
      <c r="D27" s="81">
        <f t="shared" si="0"/>
        <v>48.2</v>
      </c>
      <c r="E27" s="58"/>
    </row>
    <row r="28" spans="1:5" x14ac:dyDescent="0.2">
      <c r="A28" s="89" t="s">
        <v>24</v>
      </c>
      <c r="B28" s="90">
        <v>976643.25</v>
      </c>
      <c r="C28" s="59">
        <f>IFERROR(VLOOKUP(A28,'Бонусы-Группы'!$B$3:$C$16,2,FALSE),0)</f>
        <v>0</v>
      </c>
      <c r="D28" s="138">
        <f>SUM(D29:D49)</f>
        <v>24894.1531</v>
      </c>
      <c r="E28" s="58"/>
    </row>
    <row r="29" spans="1:5" x14ac:dyDescent="0.2">
      <c r="A29" s="91" t="s">
        <v>12</v>
      </c>
      <c r="B29" s="94">
        <v>362.7</v>
      </c>
      <c r="C29" s="59">
        <f>IFERROR(VLOOKUP(A29,'Бонусы-Группы'!$B$3:$C$16,2,FALSE),0)</f>
        <v>0.04</v>
      </c>
      <c r="D29" s="81">
        <f t="shared" si="0"/>
        <v>14.507999999999999</v>
      </c>
      <c r="E29" s="58"/>
    </row>
    <row r="30" spans="1:5" x14ac:dyDescent="0.2">
      <c r="A30" s="91" t="s">
        <v>13</v>
      </c>
      <c r="B30" s="92">
        <v>2800.8</v>
      </c>
      <c r="C30" s="59">
        <f>IFERROR(VLOOKUP(A30,'Бонусы-Группы'!$B$3:$C$16,2,FALSE),0)</f>
        <v>0.02</v>
      </c>
      <c r="D30" s="81">
        <f t="shared" si="0"/>
        <v>56.016000000000005</v>
      </c>
      <c r="E30" s="58"/>
    </row>
    <row r="31" spans="1:5" x14ac:dyDescent="0.2">
      <c r="A31" s="91" t="s">
        <v>6</v>
      </c>
      <c r="B31" s="92">
        <v>10947.88</v>
      </c>
      <c r="C31" s="59">
        <f>IFERROR(VLOOKUP(A31,'Бонусы-Группы'!$B$3:$C$16,2,FALSE),0)</f>
        <v>0.03</v>
      </c>
      <c r="D31" s="81">
        <f t="shared" si="0"/>
        <v>328.43639999999999</v>
      </c>
      <c r="E31" s="58"/>
    </row>
    <row r="32" spans="1:5" x14ac:dyDescent="0.2">
      <c r="A32" s="91" t="s">
        <v>16</v>
      </c>
      <c r="B32" s="92">
        <v>57865.51</v>
      </c>
      <c r="C32" s="59">
        <f>IFERROR(VLOOKUP(A32,'Бонусы-Группы'!$B$3:$C$16,2,FALSE),0)</f>
        <v>0.04</v>
      </c>
      <c r="D32" s="81">
        <f t="shared" si="0"/>
        <v>2314.6204000000002</v>
      </c>
      <c r="E32" s="58"/>
    </row>
    <row r="33" spans="1:5" x14ac:dyDescent="0.2">
      <c r="A33" s="93" t="s">
        <v>17</v>
      </c>
      <c r="B33" s="92">
        <v>57865.51</v>
      </c>
      <c r="C33" s="59">
        <f>IFERROR(VLOOKUP(A33,'Бонусы-Группы'!$B$3:$C$16,2,FALSE),0)</f>
        <v>0</v>
      </c>
      <c r="D33" s="81">
        <f t="shared" si="0"/>
        <v>0</v>
      </c>
      <c r="E33" s="58"/>
    </row>
    <row r="34" spans="1:5" x14ac:dyDescent="0.2">
      <c r="A34" s="95" t="s">
        <v>7</v>
      </c>
      <c r="B34" s="92">
        <v>31965.83</v>
      </c>
      <c r="C34" s="59">
        <f>IFERROR(VLOOKUP(A34,'Бонусы-Группы'!$B$3:$C$16,2,FALSE),0)</f>
        <v>0</v>
      </c>
      <c r="D34" s="81">
        <f t="shared" si="0"/>
        <v>0</v>
      </c>
      <c r="E34" s="58"/>
    </row>
    <row r="35" spans="1:5" x14ac:dyDescent="0.2">
      <c r="A35" s="95" t="s">
        <v>5</v>
      </c>
      <c r="B35" s="92">
        <v>25459.68</v>
      </c>
      <c r="C35" s="59">
        <f>IFERROR(VLOOKUP(A35,'Бонусы-Группы'!$B$3:$C$16,2,FALSE),0)</f>
        <v>0</v>
      </c>
      <c r="D35" s="81">
        <f t="shared" si="0"/>
        <v>0</v>
      </c>
      <c r="E35" s="58"/>
    </row>
    <row r="36" spans="1:5" x14ac:dyDescent="0.2">
      <c r="A36" s="95" t="s">
        <v>18</v>
      </c>
      <c r="B36" s="94">
        <v>440</v>
      </c>
      <c r="C36" s="59">
        <f>IFERROR(VLOOKUP(A36,'Бонусы-Группы'!$B$3:$C$16,2,FALSE),0)</f>
        <v>0</v>
      </c>
      <c r="D36" s="81">
        <f t="shared" si="0"/>
        <v>0</v>
      </c>
      <c r="E36" s="58"/>
    </row>
    <row r="37" spans="1:5" x14ac:dyDescent="0.2">
      <c r="A37" s="91" t="s">
        <v>4</v>
      </c>
      <c r="B37" s="92">
        <v>798489.74</v>
      </c>
      <c r="C37" s="59">
        <f>IFERROR(VLOOKUP(A37,'Бонусы-Группы'!$B$3:$C$16,2,FALSE),0)</f>
        <v>2.5000000000000001E-2</v>
      </c>
      <c r="D37" s="81">
        <f t="shared" si="0"/>
        <v>19962.2435</v>
      </c>
      <c r="E37" s="58"/>
    </row>
    <row r="38" spans="1:5" x14ac:dyDescent="0.2">
      <c r="A38" s="93" t="s">
        <v>7</v>
      </c>
      <c r="B38" s="92">
        <v>395777.05</v>
      </c>
      <c r="C38" s="59">
        <f>IFERROR(VLOOKUP(A38,'Бонусы-Группы'!$B$3:$C$16,2,FALSE),0)</f>
        <v>0</v>
      </c>
      <c r="D38" s="81">
        <f t="shared" si="0"/>
        <v>0</v>
      </c>
      <c r="E38" s="58"/>
    </row>
    <row r="39" spans="1:5" x14ac:dyDescent="0.2">
      <c r="A39" s="93" t="s">
        <v>21</v>
      </c>
      <c r="B39" s="92">
        <v>23856.27</v>
      </c>
      <c r="C39" s="59">
        <f>IFERROR(VLOOKUP(A39,'Бонусы-Группы'!$B$3:$C$16,2,FALSE),0)</f>
        <v>0</v>
      </c>
      <c r="D39" s="81">
        <f t="shared" si="0"/>
        <v>0</v>
      </c>
      <c r="E39" s="58"/>
    </row>
    <row r="40" spans="1:5" x14ac:dyDescent="0.2">
      <c r="A40" s="93" t="s">
        <v>5</v>
      </c>
      <c r="B40" s="92">
        <v>289985.71999999997</v>
      </c>
      <c r="C40" s="59">
        <f>IFERROR(VLOOKUP(A40,'Бонусы-Группы'!$B$3:$C$16,2,FALSE),0)</f>
        <v>0</v>
      </c>
      <c r="D40" s="81">
        <f t="shared" si="0"/>
        <v>0</v>
      </c>
      <c r="E40" s="58"/>
    </row>
    <row r="41" spans="1:5" x14ac:dyDescent="0.2">
      <c r="A41" s="93" t="s">
        <v>8</v>
      </c>
      <c r="B41" s="92">
        <v>88012.7</v>
      </c>
      <c r="C41" s="59">
        <f>IFERROR(VLOOKUP(A41,'Бонусы-Группы'!$B$3:$C$16,2,FALSE),0)</f>
        <v>0</v>
      </c>
      <c r="D41" s="81">
        <f>B41*C41</f>
        <v>0</v>
      </c>
      <c r="E41" s="58"/>
    </row>
    <row r="42" spans="1:5" x14ac:dyDescent="0.2">
      <c r="A42" s="93" t="s">
        <v>88</v>
      </c>
      <c r="B42" s="94">
        <v>858</v>
      </c>
      <c r="C42" s="59">
        <f>IFERROR(VLOOKUP(A42,'Бонусы-Группы'!$B$3:$C$16,2,FALSE),0)</f>
        <v>0</v>
      </c>
      <c r="D42" s="81">
        <f t="shared" si="0"/>
        <v>0</v>
      </c>
      <c r="E42" s="58"/>
    </row>
    <row r="43" spans="1:5" x14ac:dyDescent="0.2">
      <c r="A43" s="91" t="s">
        <v>9</v>
      </c>
      <c r="B43" s="92">
        <v>101740.54</v>
      </c>
      <c r="C43" s="59">
        <f>IFERROR(VLOOKUP(A43,'Бонусы-Группы'!$B$3:$C$16,2,FALSE),0)</f>
        <v>0.02</v>
      </c>
      <c r="D43" s="81">
        <f t="shared" si="0"/>
        <v>2034.8108</v>
      </c>
      <c r="E43" s="58"/>
    </row>
    <row r="44" spans="1:5" x14ac:dyDescent="0.2">
      <c r="A44" s="93" t="s">
        <v>21</v>
      </c>
      <c r="B44" s="92">
        <v>6109.04</v>
      </c>
      <c r="C44" s="59">
        <f>IFERROR(VLOOKUP(A44,'Бонусы-Группы'!$B$3:$C$16,2,FALSE),0)</f>
        <v>0</v>
      </c>
      <c r="D44" s="81">
        <f t="shared" si="0"/>
        <v>0</v>
      </c>
      <c r="E44" s="58"/>
    </row>
    <row r="45" spans="1:5" x14ac:dyDescent="0.2">
      <c r="A45" s="93" t="s">
        <v>10</v>
      </c>
      <c r="B45" s="92">
        <v>28402.36</v>
      </c>
      <c r="C45" s="59">
        <f>IFERROR(VLOOKUP(A45,'Бонусы-Группы'!$B$3:$C$16,2,FALSE),0)</f>
        <v>0</v>
      </c>
      <c r="D45" s="81">
        <f t="shared" si="0"/>
        <v>0</v>
      </c>
      <c r="E45" s="58"/>
    </row>
    <row r="46" spans="1:5" x14ac:dyDescent="0.2">
      <c r="A46" s="93" t="s">
        <v>8</v>
      </c>
      <c r="B46" s="92">
        <v>36333.35</v>
      </c>
      <c r="C46" s="59">
        <f>IFERROR(VLOOKUP(A46,'Бонусы-Группы'!$B$3:$C$16,2,FALSE),0)</f>
        <v>0</v>
      </c>
      <c r="D46" s="81">
        <f t="shared" si="0"/>
        <v>0</v>
      </c>
      <c r="E46" s="58"/>
    </row>
    <row r="47" spans="1:5" x14ac:dyDescent="0.2">
      <c r="A47" s="93" t="s">
        <v>114</v>
      </c>
      <c r="B47" s="92">
        <v>30895.79</v>
      </c>
      <c r="C47" s="59">
        <f>IFERROR(VLOOKUP(A47,'Бонусы-Группы'!$B$3:$C$16,2,FALSE),0)</f>
        <v>0</v>
      </c>
      <c r="D47" s="81">
        <f t="shared" si="0"/>
        <v>0</v>
      </c>
      <c r="E47" s="58"/>
    </row>
    <row r="48" spans="1:5" x14ac:dyDescent="0.2">
      <c r="A48" s="91" t="s">
        <v>22</v>
      </c>
      <c r="B48" s="92">
        <v>3159.88</v>
      </c>
      <c r="C48" s="59">
        <f>IFERROR(VLOOKUP(A48,'Бонусы-Группы'!$B$3:$C$16,2,FALSE),0)</f>
        <v>0.05</v>
      </c>
      <c r="D48" s="81">
        <f t="shared" si="0"/>
        <v>157.99400000000003</v>
      </c>
      <c r="E48" s="58"/>
    </row>
    <row r="49" spans="1:5" x14ac:dyDescent="0.2">
      <c r="A49" s="91" t="s">
        <v>23</v>
      </c>
      <c r="B49" s="92">
        <v>1276.2</v>
      </c>
      <c r="C49" s="59">
        <f>IFERROR(VLOOKUP(A49,'Бонусы-Группы'!$B$3:$C$16,2,FALSE),0)</f>
        <v>0.02</v>
      </c>
      <c r="D49" s="81">
        <f t="shared" si="0"/>
        <v>25.524000000000001</v>
      </c>
      <c r="E49" s="58"/>
    </row>
    <row r="50" spans="1:5" x14ac:dyDescent="0.2">
      <c r="A50" s="89" t="s">
        <v>96</v>
      </c>
      <c r="B50" s="90">
        <v>58568.38</v>
      </c>
      <c r="C50" s="59">
        <f>IFERROR(VLOOKUP(A50,'Бонусы-Группы'!$B$3:$C$16,2,FALSE),0)</f>
        <v>0</v>
      </c>
      <c r="D50" s="138">
        <f>SUM(D51:D57)</f>
        <v>1463.48615</v>
      </c>
      <c r="E50" s="61"/>
    </row>
    <row r="51" spans="1:5" x14ac:dyDescent="0.2">
      <c r="A51" s="91" t="s">
        <v>6</v>
      </c>
      <c r="B51" s="92">
        <v>1485</v>
      </c>
      <c r="C51" s="59">
        <f>IFERROR(VLOOKUP(A51,'Бонусы-Группы'!$B$3:$C$16,2,FALSE),0)</f>
        <v>0.03</v>
      </c>
      <c r="D51" s="81">
        <f t="shared" si="0"/>
        <v>44.55</v>
      </c>
      <c r="E51" s="58"/>
    </row>
    <row r="52" spans="1:5" x14ac:dyDescent="0.2">
      <c r="A52" s="91" t="s">
        <v>4</v>
      </c>
      <c r="B52" s="92">
        <v>55453.71</v>
      </c>
      <c r="C52" s="59">
        <f>IFERROR(VLOOKUP(A52,'Бонусы-Группы'!$B$3:$C$16,2,FALSE),0)</f>
        <v>2.5000000000000001E-2</v>
      </c>
      <c r="D52" s="81">
        <f t="shared" si="0"/>
        <v>1386.34275</v>
      </c>
      <c r="E52" s="58"/>
    </row>
    <row r="53" spans="1:5" s="53" customFormat="1" ht="15.75" x14ac:dyDescent="0.25">
      <c r="A53" s="93" t="s">
        <v>7</v>
      </c>
      <c r="B53" s="92">
        <v>33201.81</v>
      </c>
      <c r="C53" s="59">
        <f>IFERROR(VLOOKUP(A53,'Бонусы-Группы'!$B$3:$C$16,2,FALSE),0)</f>
        <v>0</v>
      </c>
      <c r="D53" s="81">
        <f t="shared" si="0"/>
        <v>0</v>
      </c>
      <c r="E53" s="60"/>
    </row>
    <row r="54" spans="1:5" x14ac:dyDescent="0.2">
      <c r="A54" s="93" t="s">
        <v>5</v>
      </c>
      <c r="B54" s="92">
        <v>20223.900000000001</v>
      </c>
      <c r="C54" s="59">
        <f>IFERROR(VLOOKUP(A54,'Бонусы-Группы'!$B$3:$C$16,2,FALSE),0)</f>
        <v>0</v>
      </c>
      <c r="D54" s="81">
        <f t="shared" si="0"/>
        <v>0</v>
      </c>
      <c r="E54" s="58"/>
    </row>
    <row r="55" spans="1:5" x14ac:dyDescent="0.2">
      <c r="A55" s="93" t="s">
        <v>8</v>
      </c>
      <c r="B55" s="92">
        <v>2028</v>
      </c>
      <c r="C55" s="59">
        <f>IFERROR(VLOOKUP(A55,'Бонусы-Группы'!$B$3:$C$16,2,FALSE),0)</f>
        <v>0</v>
      </c>
      <c r="D55" s="81">
        <f t="shared" si="0"/>
        <v>0</v>
      </c>
      <c r="E55" s="58"/>
    </row>
    <row r="56" spans="1:5" x14ac:dyDescent="0.2">
      <c r="A56" s="91" t="s">
        <v>9</v>
      </c>
      <c r="B56" s="92">
        <v>1629.67</v>
      </c>
      <c r="C56" s="59">
        <f>IFERROR(VLOOKUP(A56,'Бонусы-Группы'!$B$3:$C$16,2,FALSE),0)</f>
        <v>0.02</v>
      </c>
      <c r="D56" s="81">
        <f t="shared" si="0"/>
        <v>32.593400000000003</v>
      </c>
      <c r="E56" s="58"/>
    </row>
    <row r="57" spans="1:5" x14ac:dyDescent="0.2">
      <c r="A57" s="93" t="s">
        <v>10</v>
      </c>
      <c r="B57" s="92">
        <v>1629.67</v>
      </c>
      <c r="C57" s="59">
        <f>IFERROR(VLOOKUP(A57,'Бонусы-Группы'!$B$3:$C$16,2,FALSE),0)</f>
        <v>0</v>
      </c>
      <c r="D57" s="81">
        <f t="shared" si="0"/>
        <v>0</v>
      </c>
      <c r="E57" s="58"/>
    </row>
    <row r="58" spans="1:5" x14ac:dyDescent="0.2">
      <c r="A58" s="89" t="s">
        <v>25</v>
      </c>
      <c r="B58" s="90">
        <v>897447.86</v>
      </c>
      <c r="C58" s="59">
        <f>IFERROR(VLOOKUP(A58,'Бонусы-Группы'!$B$3:$C$16,2,FALSE),0)</f>
        <v>0</v>
      </c>
      <c r="D58" s="138">
        <f>SUM(D59:D87)</f>
        <v>24117.79045</v>
      </c>
      <c r="E58" s="58"/>
    </row>
    <row r="59" spans="1:5" x14ac:dyDescent="0.2">
      <c r="A59" s="91" t="s">
        <v>12</v>
      </c>
      <c r="B59" s="94">
        <v>227</v>
      </c>
      <c r="C59" s="59">
        <f>IFERROR(VLOOKUP(A59,'Бонусы-Группы'!$B$3:$C$16,2,FALSE),0)</f>
        <v>0.04</v>
      </c>
      <c r="D59" s="81">
        <f t="shared" si="0"/>
        <v>9.08</v>
      </c>
      <c r="E59" s="58"/>
    </row>
    <row r="60" spans="1:5" x14ac:dyDescent="0.2">
      <c r="A60" s="91" t="s">
        <v>14</v>
      </c>
      <c r="B60" s="92">
        <v>4553</v>
      </c>
      <c r="C60" s="59">
        <f>IFERROR(VLOOKUP(A60,'Бонусы-Группы'!$B$3:$C$16,2,FALSE),0)</f>
        <v>0.02</v>
      </c>
      <c r="D60" s="81">
        <f t="shared" si="0"/>
        <v>91.06</v>
      </c>
      <c r="E60" s="58"/>
    </row>
    <row r="61" spans="1:5" x14ac:dyDescent="0.2">
      <c r="A61" s="91" t="s">
        <v>6</v>
      </c>
      <c r="B61" s="92">
        <v>22691.78</v>
      </c>
      <c r="C61" s="59">
        <f>IFERROR(VLOOKUP(A61,'Бонусы-Группы'!$B$3:$C$16,2,FALSE),0)</f>
        <v>0.03</v>
      </c>
      <c r="D61" s="81">
        <f t="shared" si="0"/>
        <v>680.75339999999994</v>
      </c>
      <c r="E61" s="58"/>
    </row>
    <row r="62" spans="1:5" x14ac:dyDescent="0.2">
      <c r="A62" s="91" t="s">
        <v>15</v>
      </c>
      <c r="B62" s="94">
        <v>566</v>
      </c>
      <c r="C62" s="59">
        <f>IFERROR(VLOOKUP(A62,'Бонусы-Группы'!$B$3:$C$16,2,FALSE),0)</f>
        <v>0.01</v>
      </c>
      <c r="D62" s="81">
        <f t="shared" si="0"/>
        <v>5.66</v>
      </c>
      <c r="E62" s="58"/>
    </row>
    <row r="63" spans="1:5" x14ac:dyDescent="0.2">
      <c r="A63" s="93" t="s">
        <v>106</v>
      </c>
      <c r="B63" s="94">
        <v>169</v>
      </c>
      <c r="C63" s="59">
        <f>IFERROR(VLOOKUP(A63,'Бонусы-Группы'!$B$3:$C$16,2,FALSE),0)</f>
        <v>0</v>
      </c>
      <c r="D63" s="81">
        <f t="shared" si="0"/>
        <v>0</v>
      </c>
      <c r="E63" s="58"/>
    </row>
    <row r="64" spans="1:5" x14ac:dyDescent="0.2">
      <c r="A64" s="93" t="s">
        <v>105</v>
      </c>
      <c r="B64" s="94">
        <v>397</v>
      </c>
      <c r="C64" s="59">
        <f>IFERROR(VLOOKUP(A64,'Бонусы-Группы'!$B$3:$C$16,2,FALSE),0)</f>
        <v>0</v>
      </c>
      <c r="D64" s="81">
        <f t="shared" si="0"/>
        <v>0</v>
      </c>
      <c r="E64" s="58"/>
    </row>
    <row r="65" spans="1:5" x14ac:dyDescent="0.2">
      <c r="A65" s="91" t="s">
        <v>16</v>
      </c>
      <c r="B65" s="92">
        <v>126739.85</v>
      </c>
      <c r="C65" s="59">
        <f>IFERROR(VLOOKUP(A65,'Бонусы-Группы'!$B$3:$C$16,2,FALSE),0)</f>
        <v>0.04</v>
      </c>
      <c r="D65" s="81">
        <f t="shared" si="0"/>
        <v>5069.5940000000001</v>
      </c>
      <c r="E65" s="58"/>
    </row>
    <row r="66" spans="1:5" x14ac:dyDescent="0.2">
      <c r="A66" s="93" t="s">
        <v>17</v>
      </c>
      <c r="B66" s="92">
        <v>25127.8</v>
      </c>
      <c r="C66" s="59">
        <f>IFERROR(VLOOKUP(A66,'Бонусы-Группы'!$B$3:$C$16,2,FALSE),0)</f>
        <v>0</v>
      </c>
      <c r="D66" s="81">
        <f t="shared" si="0"/>
        <v>0</v>
      </c>
      <c r="E66" s="58"/>
    </row>
    <row r="67" spans="1:5" x14ac:dyDescent="0.2">
      <c r="A67" s="95" t="s">
        <v>7</v>
      </c>
      <c r="B67" s="92">
        <v>8732.5</v>
      </c>
      <c r="C67" s="59">
        <f>IFERROR(VLOOKUP(A67,'Бонусы-Группы'!$B$3:$C$16,2,FALSE),0)</f>
        <v>0</v>
      </c>
      <c r="D67" s="81">
        <f t="shared" si="0"/>
        <v>0</v>
      </c>
      <c r="E67" s="58"/>
    </row>
    <row r="68" spans="1:5" x14ac:dyDescent="0.2">
      <c r="A68" s="95" t="s">
        <v>5</v>
      </c>
      <c r="B68" s="92">
        <v>14666.1</v>
      </c>
      <c r="C68" s="59">
        <f>IFERROR(VLOOKUP(A68,'Бонусы-Группы'!$B$3:$C$16,2,FALSE),0)</f>
        <v>0</v>
      </c>
      <c r="D68" s="81">
        <f t="shared" si="0"/>
        <v>0</v>
      </c>
      <c r="E68" s="58"/>
    </row>
    <row r="69" spans="1:5" x14ac:dyDescent="0.2">
      <c r="A69" s="95" t="s">
        <v>18</v>
      </c>
      <c r="B69" s="92">
        <v>1729.2</v>
      </c>
      <c r="C69" s="59">
        <f>IFERROR(VLOOKUP(A69,'Бонусы-Группы'!$B$3:$C$16,2,FALSE),0)</f>
        <v>0</v>
      </c>
      <c r="D69" s="81">
        <f t="shared" si="0"/>
        <v>0</v>
      </c>
      <c r="E69" s="58"/>
    </row>
    <row r="70" spans="1:5" x14ac:dyDescent="0.2">
      <c r="A70" s="93" t="s">
        <v>19</v>
      </c>
      <c r="B70" s="92">
        <v>87960.05</v>
      </c>
      <c r="C70" s="59">
        <f>IFERROR(VLOOKUP(A70,'Бонусы-Группы'!$B$3:$C$16,2,FALSE),0)</f>
        <v>0</v>
      </c>
      <c r="D70" s="81">
        <f t="shared" ref="D70:D109" si="1">B70*C70</f>
        <v>0</v>
      </c>
      <c r="E70" s="58"/>
    </row>
    <row r="71" spans="1:5" x14ac:dyDescent="0.2">
      <c r="A71" s="95" t="s">
        <v>21</v>
      </c>
      <c r="B71" s="92">
        <v>12333.85</v>
      </c>
      <c r="C71" s="59">
        <f>IFERROR(VLOOKUP(A71,'Бонусы-Группы'!$B$3:$C$16,2,FALSE),0)</f>
        <v>0</v>
      </c>
      <c r="D71" s="81">
        <f t="shared" si="1"/>
        <v>0</v>
      </c>
      <c r="E71" s="61"/>
    </row>
    <row r="72" spans="1:5" x14ac:dyDescent="0.2">
      <c r="A72" s="95" t="s">
        <v>10</v>
      </c>
      <c r="B72" s="92">
        <v>64081.2</v>
      </c>
      <c r="C72" s="59">
        <f>IFERROR(VLOOKUP(A72,'Бонусы-Группы'!$B$3:$C$16,2,FALSE),0)</f>
        <v>0</v>
      </c>
      <c r="D72" s="81">
        <f t="shared" si="1"/>
        <v>0</v>
      </c>
      <c r="E72" s="58"/>
    </row>
    <row r="73" spans="1:5" x14ac:dyDescent="0.2">
      <c r="A73" s="95" t="s">
        <v>20</v>
      </c>
      <c r="B73" s="92">
        <v>11545</v>
      </c>
      <c r="C73" s="59">
        <f>IFERROR(VLOOKUP(A73,'Бонусы-Группы'!$B$3:$C$16,2,FALSE),0)</f>
        <v>0</v>
      </c>
      <c r="D73" s="81">
        <f t="shared" si="1"/>
        <v>0</v>
      </c>
      <c r="E73" s="58"/>
    </row>
    <row r="74" spans="1:5" x14ac:dyDescent="0.2">
      <c r="A74" s="93" t="s">
        <v>88</v>
      </c>
      <c r="B74" s="92">
        <v>13652</v>
      </c>
      <c r="C74" s="59">
        <f>IFERROR(VLOOKUP(A74,'Бонусы-Группы'!$B$3:$C$16,2,FALSE),0)</f>
        <v>0</v>
      </c>
      <c r="D74" s="81">
        <f t="shared" si="1"/>
        <v>0</v>
      </c>
      <c r="E74" s="58"/>
    </row>
    <row r="75" spans="1:5" x14ac:dyDescent="0.2">
      <c r="A75" s="91" t="s">
        <v>4</v>
      </c>
      <c r="B75" s="92">
        <v>660422.56999999995</v>
      </c>
      <c r="C75" s="59">
        <f>IFERROR(VLOOKUP(A75,'Бонусы-Группы'!$B$3:$C$16,2,FALSE),0)</f>
        <v>2.5000000000000001E-2</v>
      </c>
      <c r="D75" s="81">
        <f t="shared" si="1"/>
        <v>16510.564249999999</v>
      </c>
      <c r="E75" s="58"/>
    </row>
    <row r="76" spans="1:5" x14ac:dyDescent="0.2">
      <c r="A76" s="93" t="s">
        <v>7</v>
      </c>
      <c r="B76" s="92">
        <v>324036.71999999997</v>
      </c>
      <c r="C76" s="59">
        <f>IFERROR(VLOOKUP(A76,'Бонусы-Группы'!$B$3:$C$16,2,FALSE),0)</f>
        <v>0</v>
      </c>
      <c r="D76" s="81">
        <f t="shared" si="1"/>
        <v>0</v>
      </c>
      <c r="E76" s="58"/>
    </row>
    <row r="77" spans="1:5" s="53" customFormat="1" ht="15.75" x14ac:dyDescent="0.25">
      <c r="A77" s="93" t="s">
        <v>21</v>
      </c>
      <c r="B77" s="92">
        <v>9628.8700000000008</v>
      </c>
      <c r="C77" s="59">
        <f>IFERROR(VLOOKUP(A77,'Бонусы-Группы'!$B$3:$C$16,2,FALSE),0)</f>
        <v>0</v>
      </c>
      <c r="D77" s="81">
        <f t="shared" si="1"/>
        <v>0</v>
      </c>
      <c r="E77" s="60"/>
    </row>
    <row r="78" spans="1:5" x14ac:dyDescent="0.2">
      <c r="A78" s="93" t="s">
        <v>5</v>
      </c>
      <c r="B78" s="92">
        <v>207984.13</v>
      </c>
      <c r="C78" s="59">
        <f>IFERROR(VLOOKUP(A78,'Бонусы-Группы'!$B$3:$C$16,2,FALSE),0)</f>
        <v>0</v>
      </c>
      <c r="D78" s="81">
        <f t="shared" si="1"/>
        <v>0</v>
      </c>
      <c r="E78" s="58"/>
    </row>
    <row r="79" spans="1:5" x14ac:dyDescent="0.2">
      <c r="A79" s="93" t="s">
        <v>8</v>
      </c>
      <c r="B79" s="92">
        <v>118343.85</v>
      </c>
      <c r="C79" s="59">
        <f>IFERROR(VLOOKUP(A79,'Бонусы-Группы'!$B$3:$C$16,2,FALSE),0)</f>
        <v>0</v>
      </c>
      <c r="D79" s="81">
        <f t="shared" si="1"/>
        <v>0</v>
      </c>
      <c r="E79" s="58"/>
    </row>
    <row r="80" spans="1:5" x14ac:dyDescent="0.2">
      <c r="A80" s="93" t="s">
        <v>88</v>
      </c>
      <c r="B80" s="94">
        <v>429</v>
      </c>
      <c r="C80" s="59">
        <f>IFERROR(VLOOKUP(A80,'Бонусы-Группы'!$B$3:$C$16,2,FALSE),0)</f>
        <v>0</v>
      </c>
      <c r="D80" s="81">
        <f t="shared" si="1"/>
        <v>0</v>
      </c>
      <c r="E80" s="58"/>
    </row>
    <row r="81" spans="1:4" x14ac:dyDescent="0.2">
      <c r="A81" s="91" t="s">
        <v>9</v>
      </c>
      <c r="B81" s="92">
        <v>78665.14</v>
      </c>
      <c r="C81" s="59">
        <f>IFERROR(VLOOKUP(A81,'Бонусы-Группы'!$B$3:$C$16,2,FALSE),0)</f>
        <v>0.02</v>
      </c>
      <c r="D81" s="81">
        <f t="shared" si="1"/>
        <v>1573.3027999999999</v>
      </c>
    </row>
    <row r="82" spans="1:4" x14ac:dyDescent="0.2">
      <c r="A82" s="93" t="s">
        <v>21</v>
      </c>
      <c r="B82" s="92">
        <v>3065.7</v>
      </c>
      <c r="C82" s="59">
        <f>IFERROR(VLOOKUP(A82,'Бонусы-Группы'!$B$3:$C$16,2,FALSE),0)</f>
        <v>0</v>
      </c>
      <c r="D82" s="81">
        <f t="shared" si="1"/>
        <v>0</v>
      </c>
    </row>
    <row r="83" spans="1:4" x14ac:dyDescent="0.2">
      <c r="A83" s="93" t="s">
        <v>10</v>
      </c>
      <c r="B83" s="92">
        <v>66650.289999999994</v>
      </c>
      <c r="C83" s="59">
        <f>IFERROR(VLOOKUP(A83,'Бонусы-Группы'!$B$3:$C$16,2,FALSE),0)</f>
        <v>0</v>
      </c>
      <c r="D83" s="81">
        <f t="shared" si="1"/>
        <v>0</v>
      </c>
    </row>
    <row r="84" spans="1:4" x14ac:dyDescent="0.2">
      <c r="A84" s="93" t="s">
        <v>8</v>
      </c>
      <c r="B84" s="92">
        <v>5910.1</v>
      </c>
      <c r="C84" s="59">
        <f>IFERROR(VLOOKUP(A84,'Бонусы-Группы'!$B$3:$C$16,2,FALSE),0)</f>
        <v>0</v>
      </c>
      <c r="D84" s="81">
        <f t="shared" si="1"/>
        <v>0</v>
      </c>
    </row>
    <row r="85" spans="1:4" x14ac:dyDescent="0.2">
      <c r="A85" s="93" t="s">
        <v>114</v>
      </c>
      <c r="B85" s="92">
        <v>3039.05</v>
      </c>
      <c r="C85" s="59">
        <f>IFERROR(VLOOKUP(A85,'Бонусы-Группы'!$B$3:$C$16,2,FALSE),0)</f>
        <v>0</v>
      </c>
      <c r="D85" s="81">
        <f t="shared" si="1"/>
        <v>0</v>
      </c>
    </row>
    <row r="86" spans="1:4" x14ac:dyDescent="0.2">
      <c r="A86" s="91" t="s">
        <v>22</v>
      </c>
      <c r="B86" s="92">
        <v>3537.52</v>
      </c>
      <c r="C86" s="59">
        <f>IFERROR(VLOOKUP(A86,'Бонусы-Группы'!$B$3:$C$16,2,FALSE),0)</f>
        <v>0.05</v>
      </c>
      <c r="D86" s="81">
        <f t="shared" si="1"/>
        <v>176.876</v>
      </c>
    </row>
    <row r="87" spans="1:4" x14ac:dyDescent="0.2">
      <c r="A87" s="91" t="s">
        <v>23</v>
      </c>
      <c r="B87" s="94">
        <v>45</v>
      </c>
      <c r="C87" s="59">
        <f>IFERROR(VLOOKUP(A87,'Бонусы-Группы'!$B$3:$C$16,2,FALSE),0)</f>
        <v>0.02</v>
      </c>
      <c r="D87" s="81">
        <f t="shared" si="1"/>
        <v>0.9</v>
      </c>
    </row>
    <row r="88" spans="1:4" x14ac:dyDescent="0.2">
      <c r="A88" s="89" t="s">
        <v>104</v>
      </c>
      <c r="B88" s="90">
        <v>682567.26</v>
      </c>
      <c r="C88" s="59">
        <f>IFERROR(VLOOKUP(A88,'Бонусы-Группы'!$B$3:$C$16,2,FALSE),0)</f>
        <v>0</v>
      </c>
      <c r="D88" s="138">
        <f>SUM(D89:D106)</f>
        <v>17278.722450000001</v>
      </c>
    </row>
    <row r="89" spans="1:4" x14ac:dyDescent="0.2">
      <c r="A89" s="91" t="s">
        <v>13</v>
      </c>
      <c r="B89" s="94">
        <v>291.38</v>
      </c>
      <c r="C89" s="59">
        <f>IFERROR(VLOOKUP(A89,'Бонусы-Группы'!$B$3:$C$16,2,FALSE),0)</f>
        <v>0.02</v>
      </c>
      <c r="D89" s="81">
        <f t="shared" si="1"/>
        <v>5.8276000000000003</v>
      </c>
    </row>
    <row r="90" spans="1:4" x14ac:dyDescent="0.2">
      <c r="A90" s="91" t="s">
        <v>6</v>
      </c>
      <c r="B90" s="92">
        <v>6910.39</v>
      </c>
      <c r="C90" s="59">
        <f>IFERROR(VLOOKUP(A90,'Бонусы-Группы'!$B$3:$C$16,2,FALSE),0)</f>
        <v>0.03</v>
      </c>
      <c r="D90" s="81">
        <f t="shared" si="1"/>
        <v>207.3117</v>
      </c>
    </row>
    <row r="91" spans="1:4" x14ac:dyDescent="0.2">
      <c r="A91" s="91" t="s">
        <v>16</v>
      </c>
      <c r="B91" s="92">
        <v>53348.77</v>
      </c>
      <c r="C91" s="59">
        <f>IFERROR(VLOOKUP(A91,'Бонусы-Группы'!$B$3:$C$16,2,FALSE),0)</f>
        <v>0.04</v>
      </c>
      <c r="D91" s="81">
        <f t="shared" si="1"/>
        <v>2133.9508000000001</v>
      </c>
    </row>
    <row r="92" spans="1:4" x14ac:dyDescent="0.2">
      <c r="A92" s="93" t="s">
        <v>17</v>
      </c>
      <c r="B92" s="92">
        <v>53348.77</v>
      </c>
      <c r="C92" s="59">
        <f>IFERROR(VLOOKUP(A92,'Бонусы-Группы'!$B$3:$C$16,2,FALSE),0)</f>
        <v>0</v>
      </c>
      <c r="D92" s="81">
        <f t="shared" si="1"/>
        <v>0</v>
      </c>
    </row>
    <row r="93" spans="1:4" x14ac:dyDescent="0.2">
      <c r="A93" s="95" t="s">
        <v>7</v>
      </c>
      <c r="B93" s="92">
        <v>41732.47</v>
      </c>
      <c r="C93" s="59">
        <f>IFERROR(VLOOKUP(A93,'Бонусы-Группы'!$B$3:$C$16,2,FALSE),0)</f>
        <v>0</v>
      </c>
      <c r="D93" s="81">
        <f t="shared" si="1"/>
        <v>0</v>
      </c>
    </row>
    <row r="94" spans="1:4" x14ac:dyDescent="0.2">
      <c r="A94" s="95" t="s">
        <v>5</v>
      </c>
      <c r="B94" s="92">
        <v>11616.3</v>
      </c>
      <c r="C94" s="59">
        <f>IFERROR(VLOOKUP(A94,'Бонусы-Группы'!$B$3:$C$16,2,FALSE),0)</f>
        <v>0</v>
      </c>
      <c r="D94" s="81">
        <f t="shared" si="1"/>
        <v>0</v>
      </c>
    </row>
    <row r="95" spans="1:4" x14ac:dyDescent="0.2">
      <c r="A95" s="91" t="s">
        <v>4</v>
      </c>
      <c r="B95" s="92">
        <v>488625.39</v>
      </c>
      <c r="C95" s="59">
        <f>IFERROR(VLOOKUP(A95,'Бонусы-Группы'!$B$3:$C$16,2,FALSE),0)</f>
        <v>2.5000000000000001E-2</v>
      </c>
      <c r="D95" s="81">
        <f t="shared" si="1"/>
        <v>12215.634750000001</v>
      </c>
    </row>
    <row r="96" spans="1:4" x14ac:dyDescent="0.2">
      <c r="A96" s="93" t="s">
        <v>7</v>
      </c>
      <c r="B96" s="92">
        <v>188152.73</v>
      </c>
      <c r="C96" s="59">
        <f>IFERROR(VLOOKUP(A96,'Бонусы-Группы'!$B$3:$C$16,2,FALSE),0)</f>
        <v>0</v>
      </c>
      <c r="D96" s="81">
        <f t="shared" si="1"/>
        <v>0</v>
      </c>
    </row>
    <row r="97" spans="1:4" x14ac:dyDescent="0.2">
      <c r="A97" s="93" t="s">
        <v>21</v>
      </c>
      <c r="B97" s="92">
        <v>3767.1</v>
      </c>
      <c r="C97" s="59">
        <f>IFERROR(VLOOKUP(A97,'Бонусы-Группы'!$B$3:$C$16,2,FALSE),0)</f>
        <v>0</v>
      </c>
      <c r="D97" s="81">
        <f t="shared" si="1"/>
        <v>0</v>
      </c>
    </row>
    <row r="98" spans="1:4" x14ac:dyDescent="0.2">
      <c r="A98" s="93" t="s">
        <v>5</v>
      </c>
      <c r="B98" s="92">
        <v>236834.22</v>
      </c>
      <c r="C98" s="59">
        <f>IFERROR(VLOOKUP(A98,'Бонусы-Группы'!$B$3:$C$16,2,FALSE),0)</f>
        <v>0</v>
      </c>
      <c r="D98" s="81">
        <f t="shared" si="1"/>
        <v>0</v>
      </c>
    </row>
    <row r="99" spans="1:4" x14ac:dyDescent="0.2">
      <c r="A99" s="93" t="s">
        <v>8</v>
      </c>
      <c r="B99" s="92">
        <v>59871.34</v>
      </c>
      <c r="C99" s="59">
        <f>IFERROR(VLOOKUP(A99,'Бонусы-Группы'!$B$3:$C$16,2,FALSE),0)</f>
        <v>0</v>
      </c>
      <c r="D99" s="81">
        <f t="shared" si="1"/>
        <v>0</v>
      </c>
    </row>
    <row r="100" spans="1:4" x14ac:dyDescent="0.2">
      <c r="A100" s="91" t="s">
        <v>9</v>
      </c>
      <c r="B100" s="92">
        <v>127883.03</v>
      </c>
      <c r="C100" s="59">
        <f>IFERROR(VLOOKUP(A100,'Бонусы-Группы'!$B$3:$C$16,2,FALSE),0)</f>
        <v>0.02</v>
      </c>
      <c r="D100" s="81">
        <f t="shared" si="1"/>
        <v>2557.6606000000002</v>
      </c>
    </row>
    <row r="101" spans="1:4" x14ac:dyDescent="0.2">
      <c r="A101" s="93" t="s">
        <v>21</v>
      </c>
      <c r="B101" s="92">
        <v>1262.5999999999999</v>
      </c>
      <c r="C101" s="59">
        <f>IFERROR(VLOOKUP(A101,'Бонусы-Группы'!$B$3:$C$16,2,FALSE),0)</f>
        <v>0</v>
      </c>
      <c r="D101" s="81">
        <f t="shared" si="1"/>
        <v>0</v>
      </c>
    </row>
    <row r="102" spans="1:4" x14ac:dyDescent="0.2">
      <c r="A102" s="93" t="s">
        <v>10</v>
      </c>
      <c r="B102" s="92">
        <v>95086.65</v>
      </c>
      <c r="C102" s="59">
        <f>IFERROR(VLOOKUP(A102,'Бонусы-Группы'!$B$3:$C$16,2,FALSE),0)</f>
        <v>0</v>
      </c>
      <c r="D102" s="81">
        <f t="shared" si="1"/>
        <v>0</v>
      </c>
    </row>
    <row r="103" spans="1:4" x14ac:dyDescent="0.2">
      <c r="A103" s="93" t="s">
        <v>8</v>
      </c>
      <c r="B103" s="92">
        <v>9071</v>
      </c>
      <c r="C103" s="59">
        <f>IFERROR(VLOOKUP(A103,'Бонусы-Группы'!$B$3:$C$16,2,FALSE),0)</f>
        <v>0</v>
      </c>
      <c r="D103" s="81">
        <f t="shared" si="1"/>
        <v>0</v>
      </c>
    </row>
    <row r="104" spans="1:4" x14ac:dyDescent="0.2">
      <c r="A104" s="93" t="s">
        <v>114</v>
      </c>
      <c r="B104" s="92">
        <v>22462.78</v>
      </c>
      <c r="C104" s="59">
        <f>IFERROR(VLOOKUP(A104,'Бонусы-Группы'!$B$3:$C$16,2,FALSE),0)</f>
        <v>0</v>
      </c>
      <c r="D104" s="81">
        <f t="shared" si="1"/>
        <v>0</v>
      </c>
    </row>
    <row r="105" spans="1:4" x14ac:dyDescent="0.2">
      <c r="A105" s="91" t="s">
        <v>22</v>
      </c>
      <c r="B105" s="92">
        <v>1605.7</v>
      </c>
      <c r="C105" s="59">
        <f>IFERROR(VLOOKUP(A105,'Бонусы-Группы'!$B$3:$C$16,2,FALSE),0)</f>
        <v>0.05</v>
      </c>
      <c r="D105" s="81">
        <f t="shared" si="1"/>
        <v>80.285000000000011</v>
      </c>
    </row>
    <row r="106" spans="1:4" x14ac:dyDescent="0.2">
      <c r="A106" s="91" t="s">
        <v>23</v>
      </c>
      <c r="B106" s="92">
        <v>3902.6</v>
      </c>
      <c r="C106" s="59">
        <f>IFERROR(VLOOKUP(A106,'Бонусы-Группы'!$B$3:$C$16,2,FALSE),0)</f>
        <v>0.02</v>
      </c>
      <c r="D106" s="81">
        <f t="shared" si="1"/>
        <v>78.052000000000007</v>
      </c>
    </row>
    <row r="107" spans="1:4" x14ac:dyDescent="0.2">
      <c r="A107" s="89" t="s">
        <v>27</v>
      </c>
      <c r="B107" s="90">
        <v>12227</v>
      </c>
      <c r="C107" s="59">
        <f>IFERROR(VLOOKUP(A107,'Бонусы-Группы'!$B$3:$C$16,2,FALSE),0)</f>
        <v>0</v>
      </c>
      <c r="D107" s="138">
        <f>SUM(D108:D109)</f>
        <v>305.67500000000001</v>
      </c>
    </row>
    <row r="108" spans="1:4" x14ac:dyDescent="0.2">
      <c r="A108" s="91" t="s">
        <v>4</v>
      </c>
      <c r="B108" s="92">
        <v>12227</v>
      </c>
      <c r="C108" s="59">
        <f>IFERROR(VLOOKUP(A108,'Бонусы-Группы'!$B$3:$C$16,2,FALSE),0)</f>
        <v>2.5000000000000001E-2</v>
      </c>
      <c r="D108" s="81">
        <f t="shared" si="1"/>
        <v>305.67500000000001</v>
      </c>
    </row>
    <row r="109" spans="1:4" x14ac:dyDescent="0.2">
      <c r="A109" s="93" t="s">
        <v>5</v>
      </c>
      <c r="B109" s="92">
        <v>12227</v>
      </c>
      <c r="C109" s="59">
        <f>IFERROR(VLOOKUP(A109,'Бонусы-Группы'!$B$3:$C$16,2,FALSE),0)</f>
        <v>0</v>
      </c>
      <c r="D109" s="81">
        <f t="shared" si="1"/>
        <v>0</v>
      </c>
    </row>
    <row r="110" spans="1:4" x14ac:dyDescent="0.2">
      <c r="A110" s="88" t="s">
        <v>1</v>
      </c>
      <c r="B110" s="117">
        <v>3253225.6</v>
      </c>
      <c r="C110" s="59">
        <f>IFERROR(VLOOKUP(A110,'Бонусы-Группы'!$B$3:$C$16,2,FALSE),0)</f>
        <v>0</v>
      </c>
      <c r="D110" s="81"/>
    </row>
    <row r="111" spans="1:4" x14ac:dyDescent="0.2">
      <c r="A111" s="93"/>
      <c r="B111" s="92"/>
      <c r="C111" s="59"/>
      <c r="D111" s="81"/>
    </row>
    <row r="112" spans="1:4" x14ac:dyDescent="0.2">
      <c r="A112" s="93"/>
      <c r="B112" s="92"/>
      <c r="C112" s="59"/>
      <c r="D112" s="81"/>
    </row>
    <row r="113" spans="1:4" x14ac:dyDescent="0.2">
      <c r="A113" s="93"/>
      <c r="B113" s="94"/>
      <c r="C113" s="59"/>
      <c r="D113" s="81"/>
    </row>
    <row r="114" spans="1:4" x14ac:dyDescent="0.2">
      <c r="A114" s="91"/>
      <c r="B114" s="92"/>
      <c r="C114" s="59"/>
      <c r="D114" s="81"/>
    </row>
    <row r="115" spans="1:4" x14ac:dyDescent="0.2">
      <c r="A115" s="93"/>
      <c r="B115" s="92"/>
      <c r="C115" s="59"/>
      <c r="D115" s="81"/>
    </row>
    <row r="116" spans="1:4" x14ac:dyDescent="0.2">
      <c r="A116" s="93"/>
      <c r="B116" s="92"/>
      <c r="C116" s="59"/>
      <c r="D116" s="81"/>
    </row>
    <row r="117" spans="1:4" x14ac:dyDescent="0.2">
      <c r="A117" s="93"/>
      <c r="B117" s="92"/>
      <c r="C117" s="59"/>
      <c r="D117" s="81"/>
    </row>
    <row r="118" spans="1:4" x14ac:dyDescent="0.2">
      <c r="A118" s="93"/>
      <c r="B118" s="92"/>
      <c r="C118" s="59"/>
      <c r="D118" s="81"/>
    </row>
    <row r="119" spans="1:4" x14ac:dyDescent="0.2">
      <c r="A119" s="89"/>
      <c r="B119" s="90"/>
      <c r="C119" s="59"/>
      <c r="D119" s="96"/>
    </row>
    <row r="120" spans="1:4" x14ac:dyDescent="0.2">
      <c r="A120" s="91"/>
      <c r="B120" s="92"/>
      <c r="C120" s="59"/>
      <c r="D120" s="81"/>
    </row>
    <row r="121" spans="1:4" x14ac:dyDescent="0.2">
      <c r="A121" s="91"/>
      <c r="B121" s="92"/>
      <c r="C121" s="59"/>
      <c r="D121" s="81"/>
    </row>
    <row r="122" spans="1:4" x14ac:dyDescent="0.2">
      <c r="A122" s="93"/>
      <c r="B122" s="92"/>
      <c r="C122" s="59"/>
      <c r="D122" s="81"/>
    </row>
    <row r="123" spans="1:4" x14ac:dyDescent="0.2">
      <c r="A123" s="93"/>
      <c r="B123" s="92"/>
      <c r="C123" s="59"/>
      <c r="D123" s="81"/>
    </row>
    <row r="124" spans="1:4" x14ac:dyDescent="0.2">
      <c r="A124" s="93"/>
      <c r="B124" s="92"/>
      <c r="C124" s="59"/>
      <c r="D124" s="81"/>
    </row>
    <row r="125" spans="1:4" x14ac:dyDescent="0.2">
      <c r="A125" s="91"/>
      <c r="B125" s="92"/>
      <c r="C125" s="59"/>
      <c r="D125" s="81"/>
    </row>
    <row r="126" spans="1:4" x14ac:dyDescent="0.2">
      <c r="A126" s="93"/>
      <c r="B126" s="94"/>
      <c r="C126" s="59"/>
      <c r="D126" s="81"/>
    </row>
    <row r="127" spans="1:4" x14ac:dyDescent="0.2">
      <c r="A127" s="93"/>
      <c r="B127" s="92"/>
      <c r="C127" s="59"/>
      <c r="D127" s="81"/>
    </row>
    <row r="128" spans="1:4" x14ac:dyDescent="0.2">
      <c r="A128" s="93"/>
      <c r="B128" s="92"/>
      <c r="C128" s="59"/>
      <c r="D128" s="81"/>
    </row>
    <row r="129" spans="1:4" x14ac:dyDescent="0.2">
      <c r="A129" s="91"/>
      <c r="B129" s="94"/>
      <c r="C129" s="59"/>
      <c r="D129" s="81"/>
    </row>
    <row r="130" spans="1:4" x14ac:dyDescent="0.2">
      <c r="A130" s="89"/>
      <c r="B130" s="90"/>
      <c r="C130" s="59"/>
      <c r="D130" s="96"/>
    </row>
    <row r="131" spans="1:4" x14ac:dyDescent="0.2">
      <c r="A131" s="91"/>
      <c r="B131" s="94"/>
      <c r="C131" s="59"/>
      <c r="D131" s="81"/>
    </row>
    <row r="132" spans="1:4" x14ac:dyDescent="0.2">
      <c r="A132" s="91"/>
      <c r="B132" s="92"/>
      <c r="C132" s="59"/>
      <c r="D132" s="81"/>
    </row>
    <row r="133" spans="1:4" x14ac:dyDescent="0.2">
      <c r="A133" s="93"/>
      <c r="B133" s="92"/>
      <c r="C133" s="59"/>
      <c r="D133" s="81"/>
    </row>
    <row r="134" spans="1:4" x14ac:dyDescent="0.2">
      <c r="A134" s="91"/>
      <c r="B134" s="94"/>
      <c r="C134" s="59"/>
      <c r="D134" s="81"/>
    </row>
    <row r="135" spans="1:4" x14ac:dyDescent="0.2">
      <c r="A135" s="93"/>
      <c r="B135" s="94"/>
      <c r="C135" s="59"/>
      <c r="D135" s="81"/>
    </row>
    <row r="136" spans="1:4" x14ac:dyDescent="0.2">
      <c r="A136" s="88"/>
      <c r="B136" s="117"/>
      <c r="C136" s="59"/>
      <c r="D136" s="81"/>
    </row>
  </sheetData>
  <mergeCells count="2">
    <mergeCell ref="C3:C4"/>
    <mergeCell ref="D3:D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5"/>
  <sheetViews>
    <sheetView workbookViewId="0">
      <selection activeCell="D153" sqref="D153"/>
    </sheetView>
  </sheetViews>
  <sheetFormatPr defaultRowHeight="15" x14ac:dyDescent="0.25"/>
  <cols>
    <col min="1" max="1" width="36.28515625" customWidth="1"/>
    <col min="2" max="2" width="19.140625" bestFit="1" customWidth="1"/>
    <col min="9" max="9" width="9.140625" customWidth="1"/>
  </cols>
  <sheetData>
    <row r="1" spans="1:4" ht="67.5" customHeight="1" x14ac:dyDescent="0.25">
      <c r="A1" s="97" t="s">
        <v>86</v>
      </c>
      <c r="B1" s="98" t="s">
        <v>1</v>
      </c>
      <c r="C1" s="38"/>
      <c r="D1" s="38"/>
    </row>
    <row r="2" spans="1:4" x14ac:dyDescent="0.25">
      <c r="A2" s="97" t="s">
        <v>2</v>
      </c>
      <c r="B2" s="97" t="s">
        <v>3</v>
      </c>
      <c r="C2" s="38"/>
      <c r="D2" s="38"/>
    </row>
    <row r="3" spans="1:4" x14ac:dyDescent="0.25">
      <c r="A3" s="99" t="s">
        <v>41</v>
      </c>
      <c r="B3" s="100">
        <v>2735892.43</v>
      </c>
      <c r="C3" s="38"/>
      <c r="D3" s="38"/>
    </row>
    <row r="4" spans="1:4" x14ac:dyDescent="0.25">
      <c r="A4" s="101" t="s">
        <v>137</v>
      </c>
      <c r="B4" s="102">
        <v>38125.35</v>
      </c>
      <c r="C4" s="38"/>
      <c r="D4" s="38"/>
    </row>
    <row r="5" spans="1:4" x14ac:dyDescent="0.25">
      <c r="A5" s="101" t="s">
        <v>109</v>
      </c>
      <c r="B5" s="102">
        <v>1649</v>
      </c>
      <c r="C5" s="38"/>
      <c r="D5" s="38"/>
    </row>
    <row r="6" spans="1:4" x14ac:dyDescent="0.25">
      <c r="A6" s="101" t="s">
        <v>138</v>
      </c>
      <c r="B6" s="102">
        <v>5081.3</v>
      </c>
      <c r="C6" s="38"/>
      <c r="D6" s="38"/>
    </row>
    <row r="7" spans="1:4" x14ac:dyDescent="0.25">
      <c r="A7" s="101" t="s">
        <v>115</v>
      </c>
      <c r="B7" s="102">
        <v>191038.9</v>
      </c>
      <c r="C7" s="38"/>
      <c r="D7" s="38"/>
    </row>
    <row r="8" spans="1:4" x14ac:dyDescent="0.25">
      <c r="A8" s="101" t="s">
        <v>139</v>
      </c>
      <c r="B8" s="102">
        <v>3857.3</v>
      </c>
      <c r="C8" s="38"/>
      <c r="D8" s="38"/>
    </row>
    <row r="9" spans="1:4" x14ac:dyDescent="0.25">
      <c r="A9" s="101" t="s">
        <v>116</v>
      </c>
      <c r="B9" s="102">
        <v>13305</v>
      </c>
      <c r="C9" s="38"/>
      <c r="D9" s="38"/>
    </row>
    <row r="10" spans="1:4" x14ac:dyDescent="0.25">
      <c r="A10" s="101" t="s">
        <v>140</v>
      </c>
      <c r="B10" s="102">
        <v>15584</v>
      </c>
      <c r="C10" s="38"/>
      <c r="D10" s="38"/>
    </row>
    <row r="11" spans="1:4" x14ac:dyDescent="0.25">
      <c r="A11" s="101" t="s">
        <v>117</v>
      </c>
      <c r="B11" s="102">
        <v>2541</v>
      </c>
      <c r="C11" s="38"/>
      <c r="D11" s="38"/>
    </row>
    <row r="12" spans="1:4" x14ac:dyDescent="0.25">
      <c r="A12" s="101" t="s">
        <v>98</v>
      </c>
      <c r="B12" s="118">
        <v>665</v>
      </c>
      <c r="C12" s="38"/>
      <c r="D12" s="38"/>
    </row>
    <row r="13" spans="1:4" x14ac:dyDescent="0.25">
      <c r="A13" s="101" t="s">
        <v>141</v>
      </c>
      <c r="B13" s="102">
        <v>33596</v>
      </c>
      <c r="C13" s="38"/>
      <c r="D13" s="38"/>
    </row>
    <row r="14" spans="1:4" x14ac:dyDescent="0.25">
      <c r="A14" s="101" t="s">
        <v>142</v>
      </c>
      <c r="B14" s="118">
        <v>989</v>
      </c>
      <c r="C14" s="38"/>
      <c r="D14" s="38"/>
    </row>
    <row r="15" spans="1:4" x14ac:dyDescent="0.25">
      <c r="A15" s="101" t="s">
        <v>143</v>
      </c>
      <c r="B15" s="102">
        <v>38913</v>
      </c>
      <c r="C15" s="38"/>
      <c r="D15" s="38"/>
    </row>
    <row r="16" spans="1:4" x14ac:dyDescent="0.25">
      <c r="A16" s="101" t="s">
        <v>144</v>
      </c>
      <c r="B16" s="102">
        <v>17903</v>
      </c>
      <c r="C16" s="38"/>
      <c r="D16" s="38"/>
    </row>
    <row r="17" spans="1:4" x14ac:dyDescent="0.25">
      <c r="A17" s="101" t="s">
        <v>145</v>
      </c>
      <c r="B17" s="102">
        <v>1061</v>
      </c>
      <c r="C17" s="38"/>
      <c r="D17" s="38"/>
    </row>
    <row r="18" spans="1:4" x14ac:dyDescent="0.25">
      <c r="A18" s="101" t="s">
        <v>146</v>
      </c>
      <c r="B18" s="102">
        <v>9285.1200000000008</v>
      </c>
      <c r="C18" s="38"/>
      <c r="D18" s="38"/>
    </row>
    <row r="19" spans="1:4" x14ac:dyDescent="0.25">
      <c r="A19" s="101" t="s">
        <v>147</v>
      </c>
      <c r="B19" s="102">
        <v>32386.5</v>
      </c>
      <c r="C19" s="38"/>
      <c r="D19" s="38"/>
    </row>
    <row r="20" spans="1:4" x14ac:dyDescent="0.25">
      <c r="A20" s="101" t="s">
        <v>148</v>
      </c>
      <c r="B20" s="102">
        <v>3068.07</v>
      </c>
      <c r="C20" s="38"/>
      <c r="D20" s="38"/>
    </row>
    <row r="21" spans="1:4" x14ac:dyDescent="0.25">
      <c r="A21" s="101" t="s">
        <v>149</v>
      </c>
      <c r="B21" s="102">
        <v>36325.800000000003</v>
      </c>
      <c r="C21" s="38"/>
      <c r="D21" s="38"/>
    </row>
    <row r="22" spans="1:4" x14ac:dyDescent="0.25">
      <c r="A22" s="101" t="s">
        <v>150</v>
      </c>
      <c r="B22" s="102">
        <v>713052</v>
      </c>
      <c r="C22" s="38"/>
      <c r="D22" s="38"/>
    </row>
    <row r="23" spans="1:4" x14ac:dyDescent="0.25">
      <c r="A23" s="101" t="s">
        <v>151</v>
      </c>
      <c r="B23" s="102">
        <v>8203.58</v>
      </c>
      <c r="C23" s="38"/>
      <c r="D23" s="38"/>
    </row>
    <row r="24" spans="1:4" x14ac:dyDescent="0.25">
      <c r="A24" s="101" t="s">
        <v>124</v>
      </c>
      <c r="B24" s="102">
        <v>8628</v>
      </c>
      <c r="C24" s="38"/>
      <c r="D24" s="38"/>
    </row>
    <row r="25" spans="1:4" x14ac:dyDescent="0.25">
      <c r="A25" s="101" t="s">
        <v>152</v>
      </c>
      <c r="B25" s="102">
        <v>4318.2</v>
      </c>
      <c r="C25" s="38"/>
      <c r="D25" s="38"/>
    </row>
    <row r="26" spans="1:4" x14ac:dyDescent="0.25">
      <c r="A26" s="101" t="s">
        <v>153</v>
      </c>
      <c r="B26" s="102">
        <v>8195.36</v>
      </c>
      <c r="C26" s="38"/>
      <c r="D26" s="38"/>
    </row>
    <row r="27" spans="1:4" x14ac:dyDescent="0.25">
      <c r="A27" s="101" t="s">
        <v>154</v>
      </c>
      <c r="B27" s="102">
        <v>6213.6</v>
      </c>
      <c r="C27" s="38"/>
      <c r="D27" s="38"/>
    </row>
    <row r="28" spans="1:4" x14ac:dyDescent="0.25">
      <c r="A28" s="101" t="s">
        <v>155</v>
      </c>
      <c r="B28" s="102">
        <v>8765.25</v>
      </c>
      <c r="C28" s="38"/>
      <c r="D28" s="38"/>
    </row>
    <row r="29" spans="1:4" x14ac:dyDescent="0.25">
      <c r="A29" s="101" t="s">
        <v>156</v>
      </c>
      <c r="B29" s="102">
        <v>5377.9</v>
      </c>
      <c r="C29" s="38"/>
      <c r="D29" s="38"/>
    </row>
    <row r="30" spans="1:4" x14ac:dyDescent="0.25">
      <c r="A30" s="101" t="s">
        <v>92</v>
      </c>
      <c r="B30" s="102">
        <v>13049.6</v>
      </c>
      <c r="C30" s="38"/>
      <c r="D30" s="38"/>
    </row>
    <row r="31" spans="1:4" x14ac:dyDescent="0.25">
      <c r="A31" s="101" t="s">
        <v>126</v>
      </c>
      <c r="B31" s="102">
        <v>44874</v>
      </c>
      <c r="C31" s="38"/>
      <c r="D31" s="38"/>
    </row>
    <row r="32" spans="1:4" x14ac:dyDescent="0.25">
      <c r="A32" s="101" t="s">
        <v>127</v>
      </c>
      <c r="B32" s="102">
        <v>14258</v>
      </c>
      <c r="C32" s="38"/>
      <c r="D32" s="38"/>
    </row>
    <row r="33" spans="1:4" x14ac:dyDescent="0.25">
      <c r="A33" s="101" t="s">
        <v>157</v>
      </c>
      <c r="B33" s="102">
        <v>3364</v>
      </c>
      <c r="C33" s="38"/>
      <c r="D33" s="38"/>
    </row>
    <row r="34" spans="1:4" x14ac:dyDescent="0.25">
      <c r="A34" s="101" t="s">
        <v>107</v>
      </c>
      <c r="B34" s="102">
        <v>50988</v>
      </c>
      <c r="C34" s="38"/>
      <c r="D34" s="38"/>
    </row>
    <row r="35" spans="1:4" x14ac:dyDescent="0.25">
      <c r="A35" s="101" t="s">
        <v>95</v>
      </c>
      <c r="B35" s="102">
        <v>31245</v>
      </c>
      <c r="C35" s="38"/>
      <c r="D35" s="38"/>
    </row>
    <row r="36" spans="1:4" x14ac:dyDescent="0.25">
      <c r="A36" s="101" t="s">
        <v>93</v>
      </c>
      <c r="B36" s="102">
        <v>9615.2000000000007</v>
      </c>
      <c r="C36" s="38"/>
      <c r="D36" s="38"/>
    </row>
    <row r="37" spans="1:4" x14ac:dyDescent="0.25">
      <c r="A37" s="101" t="s">
        <v>158</v>
      </c>
      <c r="B37" s="102">
        <v>2279</v>
      </c>
      <c r="C37" s="38"/>
      <c r="D37" s="38"/>
    </row>
    <row r="38" spans="1:4" x14ac:dyDescent="0.25">
      <c r="A38" s="101" t="s">
        <v>159</v>
      </c>
      <c r="B38" s="102">
        <v>66834.899999999994</v>
      </c>
      <c r="C38" s="38"/>
      <c r="D38" s="38"/>
    </row>
    <row r="39" spans="1:4" x14ac:dyDescent="0.25">
      <c r="A39" s="101" t="s">
        <v>118</v>
      </c>
      <c r="B39" s="102">
        <v>272135.2</v>
      </c>
      <c r="C39" s="38"/>
      <c r="D39" s="38"/>
    </row>
    <row r="40" spans="1:4" x14ac:dyDescent="0.25">
      <c r="A40" s="101" t="s">
        <v>160</v>
      </c>
      <c r="B40" s="102">
        <v>2457.6</v>
      </c>
      <c r="C40" s="38"/>
      <c r="D40" s="38"/>
    </row>
    <row r="41" spans="1:4" x14ac:dyDescent="0.25">
      <c r="A41" s="101" t="s">
        <v>119</v>
      </c>
      <c r="B41" s="102">
        <v>740034.3</v>
      </c>
      <c r="C41" s="38"/>
      <c r="D41" s="38"/>
    </row>
    <row r="42" spans="1:4" x14ac:dyDescent="0.25">
      <c r="A42" s="101" t="s">
        <v>108</v>
      </c>
      <c r="B42" s="102">
        <v>19415.7</v>
      </c>
      <c r="C42" s="38"/>
      <c r="D42" s="38"/>
    </row>
    <row r="43" spans="1:4" x14ac:dyDescent="0.25">
      <c r="A43" s="101" t="s">
        <v>91</v>
      </c>
      <c r="B43" s="102">
        <v>28809.35</v>
      </c>
      <c r="C43" s="38"/>
      <c r="D43" s="38"/>
    </row>
    <row r="44" spans="1:4" x14ac:dyDescent="0.25">
      <c r="A44" s="101" t="s">
        <v>130</v>
      </c>
      <c r="B44" s="102">
        <v>3549.6</v>
      </c>
      <c r="C44" s="38"/>
      <c r="D44" s="38"/>
    </row>
    <row r="45" spans="1:4" x14ac:dyDescent="0.25">
      <c r="A45" s="101" t="s">
        <v>113</v>
      </c>
      <c r="B45" s="102">
        <v>7846</v>
      </c>
      <c r="C45" s="38"/>
      <c r="D45" s="38"/>
    </row>
    <row r="46" spans="1:4" x14ac:dyDescent="0.25">
      <c r="A46" s="101" t="s">
        <v>120</v>
      </c>
      <c r="B46" s="102">
        <v>17792.8</v>
      </c>
      <c r="C46" s="38"/>
      <c r="D46" s="38"/>
    </row>
    <row r="47" spans="1:4" x14ac:dyDescent="0.25">
      <c r="A47" s="101" t="s">
        <v>161</v>
      </c>
      <c r="B47" s="102">
        <v>5703.75</v>
      </c>
      <c r="C47" s="38"/>
      <c r="D47" s="38"/>
    </row>
    <row r="48" spans="1:4" x14ac:dyDescent="0.25">
      <c r="A48" s="101" t="s">
        <v>121</v>
      </c>
      <c r="B48" s="102">
        <v>4100.3999999999996</v>
      </c>
      <c r="C48" s="38"/>
      <c r="D48" s="38"/>
    </row>
    <row r="49" spans="1:4" x14ac:dyDescent="0.25">
      <c r="A49" s="101" t="s">
        <v>135</v>
      </c>
      <c r="B49" s="102">
        <v>42530</v>
      </c>
      <c r="C49" s="38"/>
      <c r="D49" s="38"/>
    </row>
    <row r="50" spans="1:4" x14ac:dyDescent="0.25">
      <c r="A50" s="101" t="s">
        <v>162</v>
      </c>
      <c r="B50" s="102">
        <v>17479</v>
      </c>
      <c r="C50" s="38"/>
      <c r="D50" s="38"/>
    </row>
    <row r="51" spans="1:4" x14ac:dyDescent="0.25">
      <c r="A51" s="101" t="s">
        <v>163</v>
      </c>
      <c r="B51" s="102">
        <v>17965.64</v>
      </c>
      <c r="C51" s="38"/>
      <c r="D51" s="38"/>
    </row>
    <row r="52" spans="1:4" x14ac:dyDescent="0.25">
      <c r="A52" s="101" t="s">
        <v>164</v>
      </c>
      <c r="B52" s="102">
        <v>2497.5</v>
      </c>
      <c r="C52" s="38"/>
      <c r="D52" s="38"/>
    </row>
    <row r="53" spans="1:4" x14ac:dyDescent="0.25">
      <c r="A53" s="101" t="s">
        <v>165</v>
      </c>
      <c r="B53" s="102">
        <v>5844.6</v>
      </c>
      <c r="C53" s="38"/>
      <c r="D53" s="38"/>
    </row>
    <row r="54" spans="1:4" x14ac:dyDescent="0.25">
      <c r="A54" s="101" t="s">
        <v>166</v>
      </c>
      <c r="B54" s="102">
        <v>19350</v>
      </c>
      <c r="C54" s="38"/>
      <c r="D54" s="38"/>
    </row>
    <row r="55" spans="1:4" x14ac:dyDescent="0.25">
      <c r="A55" s="101" t="s">
        <v>167</v>
      </c>
      <c r="B55" s="102">
        <v>65582.16</v>
      </c>
      <c r="C55" s="38"/>
      <c r="D55" s="38"/>
    </row>
    <row r="56" spans="1:4" x14ac:dyDescent="0.25">
      <c r="A56" s="101" t="s">
        <v>168</v>
      </c>
      <c r="B56" s="102">
        <v>18162.900000000001</v>
      </c>
      <c r="C56" s="38"/>
      <c r="D56" s="38"/>
    </row>
    <row r="57" spans="1:4" x14ac:dyDescent="0.25">
      <c r="A57" s="99" t="s">
        <v>42</v>
      </c>
      <c r="B57" s="100">
        <v>105823.45</v>
      </c>
    </row>
    <row r="58" spans="1:4" x14ac:dyDescent="0.25">
      <c r="A58" s="101" t="s">
        <v>109</v>
      </c>
      <c r="B58" s="102">
        <v>17180</v>
      </c>
    </row>
    <row r="59" spans="1:4" x14ac:dyDescent="0.25">
      <c r="A59" s="101" t="s">
        <v>132</v>
      </c>
      <c r="B59" s="102">
        <v>9760.0499999999993</v>
      </c>
    </row>
    <row r="60" spans="1:4" x14ac:dyDescent="0.25">
      <c r="A60" s="101" t="s">
        <v>133</v>
      </c>
      <c r="B60" s="102">
        <v>4705</v>
      </c>
    </row>
    <row r="61" spans="1:4" x14ac:dyDescent="0.25">
      <c r="A61" s="101" t="s">
        <v>169</v>
      </c>
      <c r="B61" s="102">
        <v>3072</v>
      </c>
    </row>
    <row r="62" spans="1:4" x14ac:dyDescent="0.25">
      <c r="A62" s="101" t="s">
        <v>170</v>
      </c>
      <c r="B62" s="118">
        <v>372</v>
      </c>
    </row>
    <row r="63" spans="1:4" x14ac:dyDescent="0.25">
      <c r="A63" s="101" t="s">
        <v>171</v>
      </c>
      <c r="B63" s="118">
        <v>433</v>
      </c>
    </row>
    <row r="64" spans="1:4" x14ac:dyDescent="0.25">
      <c r="A64" s="101" t="s">
        <v>172</v>
      </c>
      <c r="B64" s="102">
        <v>5055</v>
      </c>
    </row>
    <row r="65" spans="1:2" x14ac:dyDescent="0.25">
      <c r="A65" s="101" t="s">
        <v>95</v>
      </c>
      <c r="B65" s="102">
        <v>10415</v>
      </c>
    </row>
    <row r="66" spans="1:2" x14ac:dyDescent="0.25">
      <c r="A66" s="101" t="s">
        <v>173</v>
      </c>
      <c r="B66" s="102">
        <v>11961</v>
      </c>
    </row>
    <row r="67" spans="1:2" x14ac:dyDescent="0.25">
      <c r="A67" s="101" t="s">
        <v>118</v>
      </c>
      <c r="B67" s="102">
        <v>17645.2</v>
      </c>
    </row>
    <row r="68" spans="1:2" x14ac:dyDescent="0.25">
      <c r="A68" s="101" t="s">
        <v>113</v>
      </c>
      <c r="B68" s="102">
        <v>4500</v>
      </c>
    </row>
    <row r="69" spans="1:2" x14ac:dyDescent="0.25">
      <c r="A69" s="101" t="s">
        <v>110</v>
      </c>
      <c r="B69" s="102">
        <v>4215</v>
      </c>
    </row>
    <row r="70" spans="1:2" x14ac:dyDescent="0.25">
      <c r="A70" s="101" t="s">
        <v>135</v>
      </c>
      <c r="B70" s="102">
        <v>8506</v>
      </c>
    </row>
    <row r="71" spans="1:2" x14ac:dyDescent="0.25">
      <c r="A71" s="101" t="s">
        <v>174</v>
      </c>
      <c r="B71" s="102">
        <v>1058</v>
      </c>
    </row>
    <row r="72" spans="1:2" x14ac:dyDescent="0.25">
      <c r="A72" s="101" t="s">
        <v>175</v>
      </c>
      <c r="B72" s="102">
        <v>6946.2</v>
      </c>
    </row>
    <row r="73" spans="1:2" x14ac:dyDescent="0.25">
      <c r="A73" s="99" t="s">
        <v>43</v>
      </c>
      <c r="B73" s="100">
        <v>582900.75</v>
      </c>
    </row>
    <row r="74" spans="1:2" x14ac:dyDescent="0.25">
      <c r="A74" s="101" t="s">
        <v>112</v>
      </c>
      <c r="B74" s="102">
        <v>2412.8000000000002</v>
      </c>
    </row>
    <row r="75" spans="1:2" x14ac:dyDescent="0.25">
      <c r="A75" s="101" t="s">
        <v>176</v>
      </c>
      <c r="B75" s="102">
        <v>154603.20000000001</v>
      </c>
    </row>
    <row r="76" spans="1:2" x14ac:dyDescent="0.25">
      <c r="A76" s="101" t="s">
        <v>131</v>
      </c>
      <c r="B76" s="118">
        <v>835</v>
      </c>
    </row>
    <row r="77" spans="1:2" x14ac:dyDescent="0.25">
      <c r="A77" s="101" t="s">
        <v>177</v>
      </c>
      <c r="B77" s="102">
        <v>1452.65</v>
      </c>
    </row>
    <row r="78" spans="1:2" x14ac:dyDescent="0.25">
      <c r="A78" s="101" t="s">
        <v>178</v>
      </c>
      <c r="B78" s="102">
        <v>1237.8499999999999</v>
      </c>
    </row>
    <row r="79" spans="1:2" x14ac:dyDescent="0.25">
      <c r="A79" s="101" t="s">
        <v>179</v>
      </c>
      <c r="B79" s="102">
        <v>18966.419999999998</v>
      </c>
    </row>
    <row r="80" spans="1:2" x14ac:dyDescent="0.25">
      <c r="A80" s="101" t="s">
        <v>180</v>
      </c>
      <c r="B80" s="102">
        <v>26005</v>
      </c>
    </row>
    <row r="81" spans="1:2" x14ac:dyDescent="0.25">
      <c r="A81" s="101" t="s">
        <v>115</v>
      </c>
      <c r="B81" s="102">
        <v>2047</v>
      </c>
    </row>
    <row r="82" spans="1:2" x14ac:dyDescent="0.25">
      <c r="A82" s="101" t="s">
        <v>181</v>
      </c>
      <c r="B82" s="102">
        <v>9396.4500000000007</v>
      </c>
    </row>
    <row r="83" spans="1:2" x14ac:dyDescent="0.25">
      <c r="A83" s="101" t="s">
        <v>116</v>
      </c>
      <c r="B83" s="102">
        <v>3825</v>
      </c>
    </row>
    <row r="84" spans="1:2" x14ac:dyDescent="0.25">
      <c r="A84" s="101" t="s">
        <v>182</v>
      </c>
      <c r="B84" s="102">
        <v>22181.279999999999</v>
      </c>
    </row>
    <row r="85" spans="1:2" x14ac:dyDescent="0.25">
      <c r="A85" s="101" t="s">
        <v>183</v>
      </c>
      <c r="B85" s="102">
        <v>7627.55</v>
      </c>
    </row>
    <row r="86" spans="1:2" x14ac:dyDescent="0.25">
      <c r="A86" s="101" t="s">
        <v>184</v>
      </c>
      <c r="B86" s="102">
        <v>9344.2000000000007</v>
      </c>
    </row>
    <row r="87" spans="1:2" x14ac:dyDescent="0.25">
      <c r="A87" s="101" t="s">
        <v>185</v>
      </c>
      <c r="B87" s="102">
        <v>7787.15</v>
      </c>
    </row>
    <row r="88" spans="1:2" x14ac:dyDescent="0.25">
      <c r="A88" s="101" t="s">
        <v>186</v>
      </c>
      <c r="B88" s="102">
        <v>3058</v>
      </c>
    </row>
    <row r="89" spans="1:2" x14ac:dyDescent="0.25">
      <c r="A89" s="101" t="s">
        <v>187</v>
      </c>
      <c r="B89" s="102">
        <v>2207.1999999999998</v>
      </c>
    </row>
    <row r="90" spans="1:2" x14ac:dyDescent="0.25">
      <c r="A90" s="101" t="s">
        <v>134</v>
      </c>
      <c r="B90" s="118">
        <v>892.05</v>
      </c>
    </row>
    <row r="91" spans="1:2" x14ac:dyDescent="0.25">
      <c r="A91" s="101" t="s">
        <v>188</v>
      </c>
      <c r="B91" s="102">
        <v>3178</v>
      </c>
    </row>
    <row r="92" spans="1:2" x14ac:dyDescent="0.25">
      <c r="A92" s="101" t="s">
        <v>189</v>
      </c>
      <c r="B92" s="102">
        <v>3178</v>
      </c>
    </row>
    <row r="93" spans="1:2" x14ac:dyDescent="0.25">
      <c r="A93" s="101" t="s">
        <v>190</v>
      </c>
      <c r="B93" s="102">
        <v>1639.2</v>
      </c>
    </row>
    <row r="94" spans="1:2" x14ac:dyDescent="0.25">
      <c r="A94" s="101" t="s">
        <v>150</v>
      </c>
      <c r="B94" s="102">
        <v>6556.8</v>
      </c>
    </row>
    <row r="95" spans="1:2" x14ac:dyDescent="0.25">
      <c r="A95" s="101" t="s">
        <v>191</v>
      </c>
      <c r="B95" s="102">
        <v>2227</v>
      </c>
    </row>
    <row r="96" spans="1:2" x14ac:dyDescent="0.25">
      <c r="A96" s="101" t="s">
        <v>192</v>
      </c>
      <c r="B96" s="118">
        <v>854.1</v>
      </c>
    </row>
    <row r="97" spans="1:2" x14ac:dyDescent="0.25">
      <c r="A97" s="101" t="s">
        <v>193</v>
      </c>
      <c r="B97" s="118">
        <v>215.2</v>
      </c>
    </row>
    <row r="98" spans="1:2" x14ac:dyDescent="0.25">
      <c r="A98" s="101" t="s">
        <v>151</v>
      </c>
      <c r="B98" s="102">
        <v>4261.6000000000004</v>
      </c>
    </row>
    <row r="99" spans="1:2" x14ac:dyDescent="0.25">
      <c r="A99" s="101" t="s">
        <v>194</v>
      </c>
      <c r="B99" s="102">
        <v>1395.2</v>
      </c>
    </row>
    <row r="100" spans="1:2" x14ac:dyDescent="0.25">
      <c r="A100" s="101" t="s">
        <v>195</v>
      </c>
      <c r="B100" s="102">
        <v>6356</v>
      </c>
    </row>
    <row r="101" spans="1:2" x14ac:dyDescent="0.25">
      <c r="A101" s="101" t="s">
        <v>153</v>
      </c>
      <c r="B101" s="102">
        <v>5004.8</v>
      </c>
    </row>
    <row r="102" spans="1:2" x14ac:dyDescent="0.25">
      <c r="A102" s="101" t="s">
        <v>196</v>
      </c>
      <c r="B102" s="118">
        <v>759.05</v>
      </c>
    </row>
    <row r="103" spans="1:2" x14ac:dyDescent="0.25">
      <c r="A103" s="101" t="s">
        <v>197</v>
      </c>
      <c r="B103" s="102">
        <v>1001</v>
      </c>
    </row>
    <row r="104" spans="1:2" x14ac:dyDescent="0.25">
      <c r="A104" s="101" t="s">
        <v>198</v>
      </c>
      <c r="B104" s="102">
        <v>1091</v>
      </c>
    </row>
    <row r="105" spans="1:2" x14ac:dyDescent="0.25">
      <c r="A105" s="101" t="s">
        <v>199</v>
      </c>
      <c r="B105" s="102">
        <v>1320</v>
      </c>
    </row>
    <row r="106" spans="1:2" x14ac:dyDescent="0.25">
      <c r="A106" s="101" t="s">
        <v>200</v>
      </c>
      <c r="B106" s="102">
        <v>1164</v>
      </c>
    </row>
    <row r="107" spans="1:2" x14ac:dyDescent="0.25">
      <c r="A107" s="101" t="s">
        <v>201</v>
      </c>
      <c r="B107" s="118">
        <v>854.1</v>
      </c>
    </row>
    <row r="108" spans="1:2" x14ac:dyDescent="0.25">
      <c r="A108" s="101" t="s">
        <v>202</v>
      </c>
      <c r="B108" s="102">
        <v>1884</v>
      </c>
    </row>
    <row r="109" spans="1:2" x14ac:dyDescent="0.25">
      <c r="A109" s="101" t="s">
        <v>203</v>
      </c>
      <c r="B109" s="102">
        <v>3407.65</v>
      </c>
    </row>
    <row r="110" spans="1:2" x14ac:dyDescent="0.25">
      <c r="A110" s="101" t="s">
        <v>204</v>
      </c>
      <c r="B110" s="102">
        <v>1490.55</v>
      </c>
    </row>
    <row r="111" spans="1:2" x14ac:dyDescent="0.25">
      <c r="A111" s="101" t="s">
        <v>205</v>
      </c>
      <c r="B111" s="102">
        <v>1094</v>
      </c>
    </row>
    <row r="112" spans="1:2" x14ac:dyDescent="0.25">
      <c r="A112" s="101" t="s">
        <v>206</v>
      </c>
      <c r="B112" s="102">
        <v>1074.45</v>
      </c>
    </row>
    <row r="113" spans="1:2" x14ac:dyDescent="0.25">
      <c r="A113" s="101" t="s">
        <v>207</v>
      </c>
      <c r="B113" s="102">
        <v>16399.62</v>
      </c>
    </row>
    <row r="114" spans="1:2" x14ac:dyDescent="0.25">
      <c r="A114" s="101" t="s">
        <v>92</v>
      </c>
      <c r="B114" s="102">
        <v>10828.85</v>
      </c>
    </row>
    <row r="115" spans="1:2" x14ac:dyDescent="0.25">
      <c r="A115" s="101" t="s">
        <v>125</v>
      </c>
      <c r="B115" s="102">
        <v>1978</v>
      </c>
    </row>
    <row r="116" spans="1:2" x14ac:dyDescent="0.25">
      <c r="A116" s="101" t="s">
        <v>126</v>
      </c>
      <c r="B116" s="118">
        <v>889.95</v>
      </c>
    </row>
    <row r="117" spans="1:2" x14ac:dyDescent="0.25">
      <c r="A117" s="101" t="s">
        <v>128</v>
      </c>
      <c r="B117" s="102">
        <v>11214</v>
      </c>
    </row>
    <row r="118" spans="1:2" x14ac:dyDescent="0.25">
      <c r="A118" s="101" t="s">
        <v>208</v>
      </c>
      <c r="B118" s="118">
        <v>459.2</v>
      </c>
    </row>
    <row r="119" spans="1:2" x14ac:dyDescent="0.25">
      <c r="A119" s="101" t="s">
        <v>129</v>
      </c>
      <c r="B119" s="102">
        <v>3708</v>
      </c>
    </row>
    <row r="120" spans="1:2" x14ac:dyDescent="0.25">
      <c r="A120" s="101" t="s">
        <v>209</v>
      </c>
      <c r="B120" s="102">
        <v>2224.56</v>
      </c>
    </row>
    <row r="121" spans="1:2" x14ac:dyDescent="0.25">
      <c r="A121" s="101" t="s">
        <v>210</v>
      </c>
      <c r="B121" s="118">
        <v>666.4</v>
      </c>
    </row>
    <row r="122" spans="1:2" x14ac:dyDescent="0.25">
      <c r="A122" s="101" t="s">
        <v>93</v>
      </c>
      <c r="B122" s="102">
        <v>3093.7</v>
      </c>
    </row>
    <row r="123" spans="1:2" x14ac:dyDescent="0.25">
      <c r="A123" s="101" t="s">
        <v>118</v>
      </c>
      <c r="B123" s="102">
        <v>125792</v>
      </c>
    </row>
    <row r="124" spans="1:2" x14ac:dyDescent="0.25">
      <c r="A124" s="101" t="s">
        <v>119</v>
      </c>
      <c r="B124" s="102">
        <v>7554</v>
      </c>
    </row>
    <row r="125" spans="1:2" x14ac:dyDescent="0.25">
      <c r="A125" s="101" t="s">
        <v>122</v>
      </c>
      <c r="B125" s="118">
        <v>474</v>
      </c>
    </row>
    <row r="126" spans="1:2" x14ac:dyDescent="0.25">
      <c r="A126" s="101" t="s">
        <v>91</v>
      </c>
      <c r="B126" s="102">
        <v>5621.35</v>
      </c>
    </row>
    <row r="127" spans="1:2" x14ac:dyDescent="0.25">
      <c r="A127" s="101" t="s">
        <v>113</v>
      </c>
      <c r="B127" s="102">
        <v>11253.87</v>
      </c>
    </row>
    <row r="128" spans="1:2" x14ac:dyDescent="0.25">
      <c r="A128" s="101" t="s">
        <v>211</v>
      </c>
      <c r="B128" s="102">
        <v>4199</v>
      </c>
    </row>
    <row r="129" spans="1:2" x14ac:dyDescent="0.25">
      <c r="A129" s="101" t="s">
        <v>212</v>
      </c>
      <c r="B129" s="118">
        <v>840.65</v>
      </c>
    </row>
    <row r="130" spans="1:2" x14ac:dyDescent="0.25">
      <c r="A130" s="101" t="s">
        <v>94</v>
      </c>
      <c r="B130" s="102">
        <v>9477.4500000000007</v>
      </c>
    </row>
    <row r="131" spans="1:2" x14ac:dyDescent="0.25">
      <c r="A131" s="101" t="s">
        <v>213</v>
      </c>
      <c r="B131" s="102">
        <v>2437.8000000000002</v>
      </c>
    </row>
    <row r="132" spans="1:2" x14ac:dyDescent="0.25">
      <c r="A132" s="101" t="s">
        <v>214</v>
      </c>
      <c r="B132" s="102">
        <v>3088.8</v>
      </c>
    </row>
    <row r="133" spans="1:2" x14ac:dyDescent="0.25">
      <c r="A133" s="101" t="s">
        <v>136</v>
      </c>
      <c r="B133" s="118">
        <v>467.4</v>
      </c>
    </row>
    <row r="134" spans="1:2" x14ac:dyDescent="0.25">
      <c r="A134" s="101" t="s">
        <v>215</v>
      </c>
      <c r="B134" s="102">
        <v>7368</v>
      </c>
    </row>
    <row r="135" spans="1:2" x14ac:dyDescent="0.25">
      <c r="A135" s="101" t="s">
        <v>216</v>
      </c>
      <c r="B135" s="118">
        <v>864.9</v>
      </c>
    </row>
    <row r="136" spans="1:2" x14ac:dyDescent="0.25">
      <c r="A136" s="101" t="s">
        <v>163</v>
      </c>
      <c r="B136" s="102">
        <v>1964.8</v>
      </c>
    </row>
    <row r="137" spans="1:2" x14ac:dyDescent="0.25">
      <c r="A137" s="101" t="s">
        <v>217</v>
      </c>
      <c r="B137" s="102">
        <v>2682</v>
      </c>
    </row>
    <row r="138" spans="1:2" x14ac:dyDescent="0.25">
      <c r="A138" s="101" t="s">
        <v>218</v>
      </c>
      <c r="B138" s="102">
        <v>3370</v>
      </c>
    </row>
    <row r="139" spans="1:2" x14ac:dyDescent="0.25">
      <c r="A139" s="101" t="s">
        <v>219</v>
      </c>
      <c r="B139" s="118">
        <v>865.8</v>
      </c>
    </row>
    <row r="140" spans="1:2" x14ac:dyDescent="0.25">
      <c r="A140" s="101" t="s">
        <v>220</v>
      </c>
      <c r="B140" s="102">
        <v>7760.4</v>
      </c>
    </row>
    <row r="141" spans="1:2" x14ac:dyDescent="0.25">
      <c r="A141" s="101" t="s">
        <v>221</v>
      </c>
      <c r="B141" s="102">
        <v>1318</v>
      </c>
    </row>
    <row r="142" spans="1:2" x14ac:dyDescent="0.25">
      <c r="A142" s="101" t="s">
        <v>222</v>
      </c>
      <c r="B142" s="102">
        <v>7627.55</v>
      </c>
    </row>
    <row r="143" spans="1:2" x14ac:dyDescent="0.25">
      <c r="A143" s="101" t="s">
        <v>167</v>
      </c>
      <c r="B143" s="102">
        <v>1483.2</v>
      </c>
    </row>
    <row r="144" spans="1:2" x14ac:dyDescent="0.25">
      <c r="A144" s="101" t="s">
        <v>90</v>
      </c>
      <c r="B144" s="102">
        <v>1043</v>
      </c>
    </row>
    <row r="145" spans="1:2" x14ac:dyDescent="0.25">
      <c r="A145" s="98" t="s">
        <v>1</v>
      </c>
      <c r="B145" s="103">
        <v>3424616.63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E49" sqref="E49"/>
    </sheetView>
  </sheetViews>
  <sheetFormatPr defaultColWidth="9.140625" defaultRowHeight="11.25" x14ac:dyDescent="0.2"/>
  <cols>
    <col min="1" max="1" width="40" style="2" bestFit="1" customWidth="1"/>
    <col min="2" max="2" width="29.5703125" style="2" customWidth="1"/>
    <col min="3" max="4" width="9.140625" style="2"/>
    <col min="5" max="5" width="62.85546875" style="2" customWidth="1"/>
    <col min="6" max="16384" width="9.140625" style="2"/>
  </cols>
  <sheetData>
    <row r="1" spans="1:5" ht="15.75" x14ac:dyDescent="0.2">
      <c r="A1" s="1" t="s">
        <v>28</v>
      </c>
      <c r="B1" s="1" t="s">
        <v>40</v>
      </c>
    </row>
    <row r="2" spans="1:5" ht="15.75" x14ac:dyDescent="0.2">
      <c r="A2" s="3"/>
    </row>
    <row r="3" spans="1:5" ht="15.75" x14ac:dyDescent="0.2">
      <c r="A3" s="15" t="s">
        <v>16</v>
      </c>
      <c r="B3" s="16" t="s">
        <v>16</v>
      </c>
      <c r="C3" s="17">
        <v>0.04</v>
      </c>
    </row>
    <row r="4" spans="1:5" ht="15.75" x14ac:dyDescent="0.2">
      <c r="A4" s="15" t="s">
        <v>4</v>
      </c>
      <c r="B4" s="16" t="s">
        <v>4</v>
      </c>
      <c r="C4" s="17">
        <v>2.5000000000000001E-2</v>
      </c>
      <c r="E4" s="4" t="s">
        <v>29</v>
      </c>
    </row>
    <row r="5" spans="1:5" ht="15.75" x14ac:dyDescent="0.2">
      <c r="A5" s="15" t="s">
        <v>30</v>
      </c>
      <c r="B5" s="16" t="s">
        <v>9</v>
      </c>
      <c r="C5" s="17">
        <v>0.02</v>
      </c>
      <c r="E5" s="4" t="s">
        <v>31</v>
      </c>
    </row>
    <row r="6" spans="1:5" ht="15.75" x14ac:dyDescent="0.2">
      <c r="A6" s="15" t="s">
        <v>14</v>
      </c>
      <c r="B6" s="16" t="s">
        <v>14</v>
      </c>
      <c r="C6" s="17">
        <v>0.02</v>
      </c>
      <c r="E6" s="4" t="s">
        <v>32</v>
      </c>
    </row>
    <row r="7" spans="1:5" ht="15.75" x14ac:dyDescent="0.2">
      <c r="A7" s="15" t="s">
        <v>33</v>
      </c>
      <c r="B7" s="16" t="s">
        <v>26</v>
      </c>
      <c r="C7" s="17">
        <v>0.02</v>
      </c>
    </row>
    <row r="8" spans="1:5" ht="15.75" x14ac:dyDescent="0.2">
      <c r="A8" s="15" t="s">
        <v>15</v>
      </c>
      <c r="B8" s="16" t="s">
        <v>15</v>
      </c>
      <c r="C8" s="17">
        <v>0.01</v>
      </c>
    </row>
    <row r="9" spans="1:5" ht="15.75" x14ac:dyDescent="0.2">
      <c r="A9" s="15" t="s">
        <v>34</v>
      </c>
      <c r="B9" s="16" t="s">
        <v>22</v>
      </c>
      <c r="C9" s="17">
        <v>0.05</v>
      </c>
    </row>
    <row r="10" spans="1:5" ht="15.75" x14ac:dyDescent="0.2">
      <c r="A10" s="15" t="s">
        <v>35</v>
      </c>
      <c r="B10" s="16" t="s">
        <v>6</v>
      </c>
      <c r="C10" s="17">
        <v>0.03</v>
      </c>
    </row>
    <row r="11" spans="1:5" ht="15.75" x14ac:dyDescent="0.2">
      <c r="A11" s="15" t="s">
        <v>12</v>
      </c>
      <c r="B11" s="16" t="s">
        <v>12</v>
      </c>
      <c r="C11" s="17">
        <v>0.04</v>
      </c>
    </row>
    <row r="12" spans="1:5" ht="15.75" x14ac:dyDescent="0.2">
      <c r="A12" s="15" t="s">
        <v>13</v>
      </c>
      <c r="B12" s="16" t="s">
        <v>13</v>
      </c>
      <c r="C12" s="17">
        <v>0.02</v>
      </c>
    </row>
    <row r="13" spans="1:5" ht="15.75" x14ac:dyDescent="0.2">
      <c r="A13" s="15" t="s">
        <v>36</v>
      </c>
      <c r="B13" s="16" t="s">
        <v>23</v>
      </c>
      <c r="C13" s="17">
        <v>0.02</v>
      </c>
    </row>
    <row r="14" spans="1:5" ht="15.75" x14ac:dyDescent="0.2">
      <c r="A14" s="15" t="s">
        <v>37</v>
      </c>
      <c r="B14" s="16" t="s">
        <v>36</v>
      </c>
      <c r="C14" s="17">
        <v>0.02</v>
      </c>
    </row>
    <row r="15" spans="1:5" x14ac:dyDescent="0.2">
      <c r="A15" s="16" t="s">
        <v>38</v>
      </c>
      <c r="B15" s="16" t="s">
        <v>38</v>
      </c>
      <c r="C15" s="17">
        <v>0.01</v>
      </c>
    </row>
    <row r="16" spans="1:5" x14ac:dyDescent="0.2">
      <c r="A16" s="16" t="s">
        <v>39</v>
      </c>
      <c r="B16" s="16" t="s">
        <v>39</v>
      </c>
      <c r="C16" s="17">
        <v>0.01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Сделка</vt:lpstr>
      <vt:lpstr>1С Продажи-Сделка</vt:lpstr>
      <vt:lpstr>1С Колеровка</vt:lpstr>
      <vt:lpstr>Бонусы-Группы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2019-08-13T06:16:31Z</dcterms:modified>
</cp:coreProperties>
</file>