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ЭтаКнига" defaultThemeVersion="164011"/>
  <mc:AlternateContent xmlns:mc="http://schemas.openxmlformats.org/markup-compatibility/2006">
    <mc:Choice Requires="x15">
      <x15ac:absPath xmlns:x15ac="http://schemas.microsoft.com/office/spreadsheetml/2010/11/ac" url="C:\Users\pto\Desktop\"/>
    </mc:Choice>
  </mc:AlternateContent>
  <bookViews>
    <workbookView xWindow="0" yWindow="0" windowWidth="23040" windowHeight="9225"/>
  </bookViews>
  <sheets>
    <sheet name="Труба" sheetId="1" r:id="rId1"/>
    <sheet name="Расчёт болтов,герметика" sheetId="3" r:id="rId2"/>
    <sheet name="Взрывная врезка" sheetId="4" r:id="rId3"/>
    <sheet name="Стоимость и вес стали" sheetId="2" r:id="rId4"/>
    <sheet name="Коэффициенты" sheetId="6" r:id="rId5"/>
  </sheets>
  <definedNames>
    <definedName name="СТАЛИ">Труба!$AO$9:$AO$51</definedName>
    <definedName name="СТАЛИ1">Труба!$AO$52:$AO$65</definedName>
    <definedName name="СТАЛИ2">Труба!$AO$66:$AO$73</definedName>
    <definedName name="СТАЛИ3">Труба!$AO$66:$AO$69</definedName>
    <definedName name="СТАЛИ4">Труба!$AO$74:$AO$77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0" i="1" l="1"/>
  <c r="H32" i="1" l="1"/>
  <c r="H20" i="1"/>
  <c r="H13" i="1"/>
  <c r="AF55" i="1"/>
  <c r="E10" i="1"/>
  <c r="E13" i="1" s="1"/>
  <c r="E34" i="1" s="1"/>
  <c r="F36" i="1" s="1"/>
  <c r="AB37" i="1"/>
  <c r="S37" i="1" s="1"/>
  <c r="H37" i="1" s="1"/>
  <c r="AB35" i="1"/>
  <c r="S35" i="1" s="1"/>
  <c r="H35" i="1" s="1"/>
  <c r="Z35" i="1"/>
  <c r="Y35" i="1"/>
  <c r="H31" i="1"/>
  <c r="D26" i="1"/>
  <c r="AB26" i="1" s="1"/>
  <c r="L26" i="1" s="1"/>
  <c r="R26" i="1" s="1"/>
  <c r="D9" i="1"/>
  <c r="AB9" i="1" s="1"/>
  <c r="L9" i="1" s="1"/>
  <c r="R9" i="1" s="1"/>
  <c r="T10" i="1"/>
  <c r="T11" i="1"/>
  <c r="T12" i="1"/>
  <c r="T13" i="1"/>
  <c r="T14" i="1"/>
  <c r="T15" i="1"/>
  <c r="T16" i="1"/>
  <c r="T17" i="1"/>
  <c r="T18" i="1"/>
  <c r="T19" i="1"/>
  <c r="T20" i="1"/>
  <c r="T21" i="1"/>
  <c r="T22" i="1"/>
  <c r="T23" i="1"/>
  <c r="T24" i="1"/>
  <c r="T25" i="1"/>
  <c r="T26" i="1"/>
  <c r="J26" i="1"/>
  <c r="P26" i="1" s="1"/>
  <c r="J25" i="1"/>
  <c r="P25" i="1" s="1"/>
  <c r="J24" i="1"/>
  <c r="V24" i="1" s="1"/>
  <c r="J23" i="1"/>
  <c r="P23" i="1" s="1"/>
  <c r="J22" i="1"/>
  <c r="P22" i="1" s="1"/>
  <c r="J21" i="1"/>
  <c r="P21" i="1" s="1"/>
  <c r="J20" i="1"/>
  <c r="P20" i="1" s="1"/>
  <c r="J19" i="1"/>
  <c r="P19" i="1" s="1"/>
  <c r="J18" i="1"/>
  <c r="P18" i="1" s="1"/>
  <c r="J17" i="1"/>
  <c r="P17" i="1" s="1"/>
  <c r="J16" i="1"/>
  <c r="P16" i="1" s="1"/>
  <c r="J15" i="1"/>
  <c r="P15" i="1" s="1"/>
  <c r="J14" i="1"/>
  <c r="P14" i="1" s="1"/>
  <c r="J13" i="1"/>
  <c r="P13" i="1" s="1"/>
  <c r="J12" i="1"/>
  <c r="V12" i="1" s="1"/>
  <c r="J11" i="1"/>
  <c r="P11" i="1" s="1"/>
  <c r="J10" i="1"/>
  <c r="P10" i="1" s="1"/>
  <c r="J9" i="1"/>
  <c r="P9" i="1" s="1"/>
  <c r="I17" i="1"/>
  <c r="O17" i="1" s="1"/>
  <c r="I16" i="1"/>
  <c r="O16" i="1" s="1"/>
  <c r="I15" i="1"/>
  <c r="O15" i="1" s="1"/>
  <c r="I14" i="1"/>
  <c r="O14" i="1" s="1"/>
  <c r="I9" i="1"/>
  <c r="U9" i="1" s="1"/>
  <c r="I26" i="1"/>
  <c r="O26" i="1" s="1"/>
  <c r="AE3" i="6"/>
  <c r="AL5" i="6" a="1"/>
  <c r="AL5" i="6"/>
  <c r="AM5" i="6"/>
  <c r="AD3" i="6"/>
  <c r="AJ5" i="6" s="1" a="1"/>
  <c r="AJ5" i="6" s="1"/>
  <c r="AC3" i="6"/>
  <c r="AH5" i="6" s="1" a="1"/>
  <c r="AH5" i="6" s="1"/>
  <c r="AI5" i="6" s="1"/>
  <c r="E45" i="6"/>
  <c r="E44" i="6"/>
  <c r="E43" i="6"/>
  <c r="E42" i="6"/>
  <c r="E41" i="6"/>
  <c r="E40" i="6"/>
  <c r="E39" i="6"/>
  <c r="E38" i="6"/>
  <c r="E37" i="6"/>
  <c r="E36" i="6"/>
  <c r="E35" i="6"/>
  <c r="E34" i="6"/>
  <c r="E33" i="6"/>
  <c r="E32" i="6"/>
  <c r="E31" i="6"/>
  <c r="E30" i="6"/>
  <c r="E29" i="6"/>
  <c r="E28" i="6"/>
  <c r="E27" i="6"/>
  <c r="E26" i="6"/>
  <c r="E25" i="6"/>
  <c r="E24" i="6"/>
  <c r="E23" i="6"/>
  <c r="E22" i="6"/>
  <c r="E21" i="6"/>
  <c r="E20" i="6"/>
  <c r="E19" i="6"/>
  <c r="E18" i="6"/>
  <c r="E17" i="6"/>
  <c r="E16" i="6"/>
  <c r="E15" i="6"/>
  <c r="E14" i="6"/>
  <c r="E13" i="6"/>
  <c r="E12" i="6"/>
  <c r="E11" i="6"/>
  <c r="E10" i="6"/>
  <c r="E9" i="6"/>
  <c r="E8" i="6"/>
  <c r="E7" i="6"/>
  <c r="E6" i="6"/>
  <c r="E5" i="6"/>
  <c r="Y16" i="1"/>
  <c r="K16" i="1"/>
  <c r="Q16" i="1" s="1"/>
  <c r="W16" i="1" s="1"/>
  <c r="Y15" i="1"/>
  <c r="K15" i="1"/>
  <c r="Q15" i="1" s="1"/>
  <c r="W15" i="1" s="1"/>
  <c r="AF34" i="1"/>
  <c r="AF32" i="1"/>
  <c r="G19" i="3"/>
  <c r="G21" i="3"/>
  <c r="G20" i="3"/>
  <c r="G18" i="3"/>
  <c r="AC9" i="1"/>
  <c r="M9" i="1" s="1"/>
  <c r="S9" i="1" s="1"/>
  <c r="AF27" i="1"/>
  <c r="D19" i="1"/>
  <c r="AB19" i="1" s="1"/>
  <c r="L19" i="1" s="1"/>
  <c r="R19" i="1" s="1"/>
  <c r="AF19" i="1"/>
  <c r="D36" i="1"/>
  <c r="AF53" i="1"/>
  <c r="AF16" i="1"/>
  <c r="E30" i="3"/>
  <c r="G30" i="3"/>
  <c r="H30" i="3"/>
  <c r="E31" i="3"/>
  <c r="G31" i="3"/>
  <c r="H31" i="3"/>
  <c r="AF50" i="1"/>
  <c r="AF41" i="1"/>
  <c r="AF42" i="1"/>
  <c r="B25" i="4"/>
  <c r="C25" i="4"/>
  <c r="B11" i="4"/>
  <c r="C11" i="4"/>
  <c r="G6" i="3"/>
  <c r="G7" i="3"/>
  <c r="G11" i="3"/>
  <c r="G5" i="3"/>
  <c r="G9" i="3"/>
  <c r="AF31" i="1"/>
  <c r="AF49" i="1"/>
  <c r="AF30" i="1"/>
  <c r="K13" i="1"/>
  <c r="Q13" i="1" s="1"/>
  <c r="W13" i="1" s="1"/>
  <c r="K12" i="1"/>
  <c r="Q12" i="1" s="1"/>
  <c r="W12" i="1" s="1"/>
  <c r="K11" i="1"/>
  <c r="Q11" i="1" s="1"/>
  <c r="W11" i="1" s="1"/>
  <c r="K10" i="1"/>
  <c r="Q10" i="1" s="1"/>
  <c r="W10" i="1" s="1"/>
  <c r="AF25" i="1"/>
  <c r="AF10" i="1"/>
  <c r="AF40" i="1"/>
  <c r="AC26" i="1"/>
  <c r="M26" i="1" s="1"/>
  <c r="S26" i="1" s="1"/>
  <c r="AD26" i="1"/>
  <c r="N26" i="1" s="1"/>
  <c r="K26" i="1"/>
  <c r="Q26" i="1" s="1"/>
  <c r="W26" i="1" s="1"/>
  <c r="Y26" i="1"/>
  <c r="AD9" i="1"/>
  <c r="N9" i="1" s="1"/>
  <c r="T9" i="1"/>
  <c r="AF33" i="1"/>
  <c r="AF29" i="1"/>
  <c r="AF48" i="1"/>
  <c r="AF26" i="1"/>
  <c r="AF24" i="1"/>
  <c r="AF20" i="1"/>
  <c r="AF13" i="1"/>
  <c r="Z31" i="1"/>
  <c r="D23" i="1"/>
  <c r="AB23" i="1" s="1"/>
  <c r="L23" i="1" s="1"/>
  <c r="D20" i="1"/>
  <c r="I20" i="1"/>
  <c r="O20" i="1" s="1"/>
  <c r="E30" i="1"/>
  <c r="Z37" i="1"/>
  <c r="Y37" i="1"/>
  <c r="AD23" i="1"/>
  <c r="N23" i="1" s="1"/>
  <c r="AD20" i="1"/>
  <c r="N20" i="1" s="1"/>
  <c r="AD19" i="1"/>
  <c r="N19" i="1" s="1"/>
  <c r="K25" i="1"/>
  <c r="Q25" i="1" s="1"/>
  <c r="W25" i="1" s="1"/>
  <c r="K24" i="1"/>
  <c r="Q24" i="1" s="1"/>
  <c r="W24" i="1" s="1"/>
  <c r="K21" i="1"/>
  <c r="Q21" i="1" s="1"/>
  <c r="W21" i="1" s="1"/>
  <c r="K19" i="1"/>
  <c r="Q19" i="1" s="1"/>
  <c r="W19" i="1" s="1"/>
  <c r="K18" i="1"/>
  <c r="Q18" i="1" s="1"/>
  <c r="W18" i="1" s="1"/>
  <c r="K23" i="1"/>
  <c r="Q23" i="1" s="1"/>
  <c r="W23" i="1" s="1"/>
  <c r="K22" i="1"/>
  <c r="Q22" i="1" s="1"/>
  <c r="W22" i="1" s="1"/>
  <c r="K20" i="1"/>
  <c r="Q20" i="1" s="1"/>
  <c r="W20" i="1" s="1"/>
  <c r="K17" i="1"/>
  <c r="Q17" i="1" s="1"/>
  <c r="W17" i="1" s="1"/>
  <c r="K14" i="1"/>
  <c r="Q14" i="1" s="1"/>
  <c r="W14" i="1" s="1"/>
  <c r="K9" i="1"/>
  <c r="Q9" i="1" s="1"/>
  <c r="W9" i="1" s="1"/>
  <c r="Y29" i="1"/>
  <c r="Y20" i="1"/>
  <c r="AF56" i="1"/>
  <c r="AB32" i="1"/>
  <c r="S32" i="1" s="1"/>
  <c r="Z32" i="1"/>
  <c r="Z33" i="1"/>
  <c r="Y32" i="1"/>
  <c r="Y33" i="1"/>
  <c r="Y31" i="1"/>
  <c r="E22" i="1"/>
  <c r="F22" i="1" s="1"/>
  <c r="B6" i="1"/>
  <c r="D25" i="1"/>
  <c r="I25" i="1"/>
  <c r="O25" i="1" s="1"/>
  <c r="D24" i="1"/>
  <c r="I24" i="1"/>
  <c r="O24" i="1" s="1"/>
  <c r="D18" i="1"/>
  <c r="AB18" i="1" s="1"/>
  <c r="L18" i="1" s="1"/>
  <c r="R18" i="1" s="1"/>
  <c r="AD18" i="1"/>
  <c r="N18" i="1" s="1"/>
  <c r="D22" i="1"/>
  <c r="AC19" i="1"/>
  <c r="M19" i="1" s="1"/>
  <c r="S19" i="1" s="1"/>
  <c r="H19" i="1" s="1"/>
  <c r="Y22" i="1"/>
  <c r="Y18" i="1"/>
  <c r="Y17" i="1"/>
  <c r="Y14" i="1"/>
  <c r="C21" i="1"/>
  <c r="D21" i="1"/>
  <c r="I21" i="1" s="1"/>
  <c r="Y4" i="1"/>
  <c r="I18" i="1" s="1"/>
  <c r="Y21" i="1"/>
  <c r="Y25" i="1"/>
  <c r="Y24" i="1"/>
  <c r="Y19" i="1"/>
  <c r="H33" i="1"/>
  <c r="Y23" i="1"/>
  <c r="E11" i="1"/>
  <c r="E12" i="1"/>
  <c r="Y9" i="1"/>
  <c r="Y30" i="1"/>
  <c r="Z30" i="1"/>
  <c r="AF18" i="1"/>
  <c r="AF9" i="1"/>
  <c r="AF11" i="1"/>
  <c r="AF12" i="1"/>
  <c r="AF14" i="1"/>
  <c r="Y11" i="1"/>
  <c r="Y10" i="1"/>
  <c r="Y12" i="1"/>
  <c r="AF54" i="1"/>
  <c r="AF52" i="1"/>
  <c r="AF47" i="1"/>
  <c r="AF51" i="1"/>
  <c r="AF46" i="1"/>
  <c r="AF45" i="1"/>
  <c r="AF44" i="1"/>
  <c r="AF39" i="1"/>
  <c r="AF43" i="1"/>
  <c r="AF38" i="1"/>
  <c r="AF36" i="1"/>
  <c r="AF37" i="1"/>
  <c r="AF35" i="1"/>
  <c r="AF23" i="1"/>
  <c r="AF28" i="1"/>
  <c r="AF22" i="1"/>
  <c r="AF17" i="1"/>
  <c r="AF21" i="1"/>
  <c r="AF15" i="1"/>
  <c r="Z29" i="1"/>
  <c r="N25" i="1"/>
  <c r="N24" i="1"/>
  <c r="Z36" i="1"/>
  <c r="Y36" i="1"/>
  <c r="Y34" i="1"/>
  <c r="Y13" i="1"/>
  <c r="Z13" i="1"/>
  <c r="Z20" i="1"/>
  <c r="I19" i="1"/>
  <c r="O19" i="1" s="1"/>
  <c r="AC18" i="1"/>
  <c r="M18" i="1" s="1"/>
  <c r="S18" i="1" s="1"/>
  <c r="H18" i="1" s="1"/>
  <c r="AC23" i="1"/>
  <c r="M23" i="1" s="1"/>
  <c r="S23" i="1" s="1"/>
  <c r="I23" i="1"/>
  <c r="O23" i="1" s="1"/>
  <c r="R23" i="1"/>
  <c r="G23" i="3"/>
  <c r="V22" i="1"/>
  <c r="H33" i="3"/>
  <c r="AC20" i="1"/>
  <c r="M20" i="1" s="1"/>
  <c r="S20" i="1" s="1"/>
  <c r="Z34" i="1"/>
  <c r="N13" i="1"/>
  <c r="U25" i="1" l="1"/>
  <c r="U26" i="1"/>
  <c r="U15" i="1"/>
  <c r="U23" i="1"/>
  <c r="U19" i="1"/>
  <c r="V25" i="1"/>
  <c r="V10" i="1"/>
  <c r="U20" i="1"/>
  <c r="V23" i="1"/>
  <c r="F12" i="1"/>
  <c r="D12" i="1" s="1"/>
  <c r="I12" i="1" s="1"/>
  <c r="V19" i="1"/>
  <c r="V13" i="1"/>
  <c r="V15" i="1"/>
  <c r="F30" i="1"/>
  <c r="AB30" i="1" s="1"/>
  <c r="S30" i="1" s="1"/>
  <c r="H30" i="1" s="1"/>
  <c r="AK5" i="6"/>
  <c r="AG5" i="6"/>
  <c r="AV10" i="6" s="1"/>
  <c r="AD16" i="1" s="1"/>
  <c r="N16" i="1" s="1"/>
  <c r="H9" i="1"/>
  <c r="H23" i="1"/>
  <c r="V9" i="1"/>
  <c r="V16" i="1"/>
  <c r="V20" i="1"/>
  <c r="V17" i="1"/>
  <c r="V21" i="1"/>
  <c r="U24" i="1"/>
  <c r="U17" i="1"/>
  <c r="P12" i="1"/>
  <c r="O9" i="1"/>
  <c r="Z9" i="1" s="1"/>
  <c r="P24" i="1"/>
  <c r="Z26" i="1"/>
  <c r="U18" i="1"/>
  <c r="O18" i="1"/>
  <c r="Z18" i="1" s="1"/>
  <c r="O21" i="1"/>
  <c r="U21" i="1"/>
  <c r="V26" i="1"/>
  <c r="H26" i="1" s="1"/>
  <c r="V18" i="1"/>
  <c r="V14" i="1"/>
  <c r="Z23" i="1"/>
  <c r="I22" i="1"/>
  <c r="F11" i="1"/>
  <c r="D11" i="1" s="1"/>
  <c r="I11" i="1" s="1"/>
  <c r="V11" i="1"/>
  <c r="F10" i="1"/>
  <c r="AB21" i="1"/>
  <c r="L21" i="1" s="1"/>
  <c r="R21" i="1" s="1"/>
  <c r="Z19" i="1"/>
  <c r="U14" i="1"/>
  <c r="U16" i="1"/>
  <c r="E29" i="1"/>
  <c r="F20" i="1"/>
  <c r="AT13" i="6" l="1"/>
  <c r="AB22" i="1" s="1"/>
  <c r="L22" i="1" s="1"/>
  <c r="R22" i="1" s="1"/>
  <c r="AV15" i="6"/>
  <c r="AU6" i="6"/>
  <c r="AC11" i="1" s="1"/>
  <c r="M11" i="1" s="1"/>
  <c r="S11" i="1" s="1"/>
  <c r="AV8" i="6"/>
  <c r="AV6" i="6"/>
  <c r="AD11" i="1" s="1"/>
  <c r="N11" i="1" s="1"/>
  <c r="AU12" i="6"/>
  <c r="AC17" i="1" s="1"/>
  <c r="M17" i="1" s="1"/>
  <c r="S17" i="1" s="1"/>
  <c r="AO5" i="6" a="1"/>
  <c r="AQ5" i="6" s="1"/>
  <c r="AV7" i="6"/>
  <c r="AD12" i="1" s="1"/>
  <c r="N12" i="1" s="1"/>
  <c r="AU13" i="6"/>
  <c r="AC22" i="1" s="1"/>
  <c r="M22" i="1" s="1"/>
  <c r="S22" i="1" s="1"/>
  <c r="H22" i="1" s="1"/>
  <c r="AU8" i="6"/>
  <c r="AV13" i="6"/>
  <c r="AD22" i="1" s="1"/>
  <c r="N22" i="1" s="1"/>
  <c r="AU9" i="6"/>
  <c r="AC14" i="1" s="1"/>
  <c r="M14" i="1" s="1"/>
  <c r="S14" i="1" s="1"/>
  <c r="AV12" i="6"/>
  <c r="AD17" i="1" s="1"/>
  <c r="N17" i="1" s="1"/>
  <c r="AU11" i="6"/>
  <c r="AC16" i="1" s="1"/>
  <c r="M16" i="1" s="1"/>
  <c r="S16" i="1" s="1"/>
  <c r="AD15" i="1"/>
  <c r="N15" i="1" s="1"/>
  <c r="AV5" i="6"/>
  <c r="AD10" i="1" s="1"/>
  <c r="N10" i="1" s="1"/>
  <c r="AV11" i="6"/>
  <c r="AU5" i="6"/>
  <c r="AU10" i="6"/>
  <c r="AC15" i="1" s="1"/>
  <c r="M15" i="1" s="1"/>
  <c r="S15" i="1" s="1"/>
  <c r="AU7" i="6"/>
  <c r="AC12" i="1" s="1"/>
  <c r="M12" i="1" s="1"/>
  <c r="S12" i="1" s="1"/>
  <c r="AU15" i="6"/>
  <c r="AC25" i="1" s="1"/>
  <c r="M25" i="1" s="1"/>
  <c r="S25" i="1" s="1"/>
  <c r="AV9" i="6"/>
  <c r="AD14" i="1" s="1"/>
  <c r="N14" i="1" s="1"/>
  <c r="AU14" i="6"/>
  <c r="AC24" i="1" s="1"/>
  <c r="M24" i="1" s="1"/>
  <c r="S24" i="1" s="1"/>
  <c r="AV14" i="6"/>
  <c r="U11" i="1"/>
  <c r="O11" i="1"/>
  <c r="O12" i="1"/>
  <c r="U12" i="1"/>
  <c r="D10" i="1"/>
  <c r="F13" i="1"/>
  <c r="F34" i="1" s="1"/>
  <c r="AB34" i="1" s="1"/>
  <c r="S34" i="1" s="1"/>
  <c r="H34" i="1" s="1"/>
  <c r="O22" i="1"/>
  <c r="U22" i="1"/>
  <c r="E36" i="1"/>
  <c r="AB36" i="1" s="1"/>
  <c r="F29" i="1"/>
  <c r="AB29" i="1" l="1"/>
  <c r="S29" i="1" s="1"/>
  <c r="H29" i="1" s="1"/>
  <c r="F33" i="1"/>
  <c r="AB33" i="1" s="1"/>
  <c r="S33" i="1" s="1"/>
  <c r="AD21" i="1"/>
  <c r="N21" i="1" s="1"/>
  <c r="AC10" i="1"/>
  <c r="M10" i="1" s="1"/>
  <c r="S10" i="1" s="1"/>
  <c r="AB20" i="1"/>
  <c r="L20" i="1" s="1"/>
  <c r="R20" i="1" s="1"/>
  <c r="AB31" i="1"/>
  <c r="S31" i="1" s="1"/>
  <c r="AC21" i="1"/>
  <c r="M21" i="1" s="1"/>
  <c r="S21" i="1" s="1"/>
  <c r="H21" i="1" s="1"/>
  <c r="AP5" i="6"/>
  <c r="AO5" i="6"/>
  <c r="S36" i="1"/>
  <c r="H36" i="1" s="1"/>
  <c r="Z21" i="1"/>
  <c r="I10" i="1"/>
  <c r="D13" i="1"/>
  <c r="I13" i="1" s="1"/>
  <c r="Z22" i="1"/>
  <c r="AC13" i="1"/>
  <c r="M13" i="1" s="1"/>
  <c r="S13" i="1" s="1"/>
  <c r="AN5" i="6" l="1"/>
  <c r="AT15" i="6" s="1"/>
  <c r="AB25" i="1" s="1"/>
  <c r="L25" i="1" s="1"/>
  <c r="O13" i="1"/>
  <c r="U13" i="1"/>
  <c r="O10" i="1"/>
  <c r="U10" i="1"/>
  <c r="AT7" i="6" l="1"/>
  <c r="AB12" i="1" s="1"/>
  <c r="L12" i="1" s="1"/>
  <c r="AT5" i="6"/>
  <c r="AB10" i="1" s="1"/>
  <c r="L10" i="1" s="1"/>
  <c r="AT14" i="6"/>
  <c r="AB24" i="1" s="1"/>
  <c r="L24" i="1" s="1"/>
  <c r="Z24" i="1" s="1"/>
  <c r="AT6" i="6"/>
  <c r="AB11" i="1" s="1"/>
  <c r="L11" i="1" s="1"/>
  <c r="Z11" i="1" s="1"/>
  <c r="AT10" i="6"/>
  <c r="AB15" i="1" s="1"/>
  <c r="L15" i="1" s="1"/>
  <c r="AT12" i="6"/>
  <c r="AB17" i="1" s="1"/>
  <c r="L17" i="1" s="1"/>
  <c r="Z17" i="1" s="1"/>
  <c r="AT8" i="6"/>
  <c r="AB13" i="1" s="1"/>
  <c r="L13" i="1" s="1"/>
  <c r="R13" i="1" s="1"/>
  <c r="AT11" i="6"/>
  <c r="AB16" i="1" s="1"/>
  <c r="L16" i="1" s="1"/>
  <c r="Z16" i="1" s="1"/>
  <c r="AT9" i="6"/>
  <c r="AB14" i="1" s="1"/>
  <c r="L14" i="1" s="1"/>
  <c r="Z14" i="1" s="1"/>
  <c r="Z12" i="1"/>
  <c r="R12" i="1"/>
  <c r="H12" i="1" s="1"/>
  <c r="Z10" i="1"/>
  <c r="R10" i="1"/>
  <c r="H10" i="1" s="1"/>
  <c r="R24" i="1"/>
  <c r="H24" i="1" s="1"/>
  <c r="R11" i="1"/>
  <c r="H11" i="1" s="1"/>
  <c r="Z15" i="1"/>
  <c r="R15" i="1"/>
  <c r="H15" i="1" s="1"/>
  <c r="R17" i="1"/>
  <c r="H17" i="1" s="1"/>
  <c r="R16" i="1"/>
  <c r="H16" i="1" s="1"/>
  <c r="R14" i="1"/>
  <c r="H14" i="1" s="1"/>
  <c r="Z25" i="1"/>
  <c r="R25" i="1"/>
  <c r="H25" i="1" s="1"/>
</calcChain>
</file>

<file path=xl/sharedStrings.xml><?xml version="1.0" encoding="utf-8"?>
<sst xmlns="http://schemas.openxmlformats.org/spreadsheetml/2006/main" count="352" uniqueCount="194">
  <si>
    <t>Сталь</t>
  </si>
  <si>
    <t>Диаметр</t>
  </si>
  <si>
    <t>Утеплитель</t>
  </si>
  <si>
    <t>Толщина</t>
  </si>
  <si>
    <t>430 0,5</t>
  </si>
  <si>
    <t>304 0,5</t>
  </si>
  <si>
    <t>304 0,8</t>
  </si>
  <si>
    <t>Тизол 50</t>
  </si>
  <si>
    <t xml:space="preserve">СТАЛЬ </t>
  </si>
  <si>
    <t>ЦЕНА ПОКРАСКИ ЗА М2</t>
  </si>
  <si>
    <t>ТОЛЩИНА СТАЛИ</t>
  </si>
  <si>
    <t>СДЕЛАТЬ ТОЛЩЕ</t>
  </si>
  <si>
    <t>ЭЛЕМЕНТ</t>
  </si>
  <si>
    <t>ДЛИНА</t>
  </si>
  <si>
    <t>ДОП. ПАРАМЕТРЫ</t>
  </si>
  <si>
    <t>V УТЕПЛИТЕЛЯ</t>
  </si>
  <si>
    <t>ПОКРАСКА</t>
  </si>
  <si>
    <t>МАССА</t>
  </si>
  <si>
    <t>Труба</t>
  </si>
  <si>
    <t xml:space="preserve">Ревизия </t>
  </si>
  <si>
    <t xml:space="preserve">Заглушка </t>
  </si>
  <si>
    <t>Заглушка с к.о.</t>
  </si>
  <si>
    <t>Адаптер</t>
  </si>
  <si>
    <t>Зонт</t>
  </si>
  <si>
    <t>Дефлектор</t>
  </si>
  <si>
    <t>Труба телескопич.</t>
  </si>
  <si>
    <t>Оц.</t>
  </si>
  <si>
    <t># #</t>
  </si>
  <si>
    <t>КОНТУР 1</t>
  </si>
  <si>
    <t>КОНТУР 2</t>
  </si>
  <si>
    <t>КОНТУР 3</t>
  </si>
  <si>
    <t>Код позиции</t>
  </si>
  <si>
    <t>ЦЕНА</t>
  </si>
  <si>
    <t>Чернина</t>
  </si>
  <si>
    <t>СТОИМОСТЬ УТЕПЛИТЕЛЯ</t>
  </si>
  <si>
    <t>СТОИМОСТЬ ТИЗОЛА</t>
  </si>
  <si>
    <t xml:space="preserve">Стоимость за м3 </t>
  </si>
  <si>
    <t>V ТИЗОЛА</t>
  </si>
  <si>
    <t>Стоимость за кг</t>
  </si>
  <si>
    <t>СТОИМОСТЬ КОЛЕЦ</t>
  </si>
  <si>
    <t>Площадка</t>
  </si>
  <si>
    <t>Консоли</t>
  </si>
  <si>
    <t>Фартук</t>
  </si>
  <si>
    <t>Фланцы для взрывного</t>
  </si>
  <si>
    <t>Опора</t>
  </si>
  <si>
    <r>
      <t>Вес м</t>
    </r>
    <r>
      <rPr>
        <b/>
        <vertAlign val="superscript"/>
        <sz val="10"/>
        <color theme="1" tint="0.14999847407452621"/>
        <rFont val="Calibri"/>
        <family val="2"/>
        <charset val="204"/>
        <scheme val="minor"/>
      </rPr>
      <t>2</t>
    </r>
  </si>
  <si>
    <t>ТИП СИСТЕМЫ</t>
  </si>
  <si>
    <t>ВЕС 1 КОНТУРА</t>
  </si>
  <si>
    <t>ВЕС 2 КОНТУРА</t>
  </si>
  <si>
    <t>ВЕС 3 КОНТУРА</t>
  </si>
  <si>
    <t>СТОИМОСТЬ 1 КОНТУРА</t>
  </si>
  <si>
    <t>СТОИМОСТЬ 2 КОНТУРА</t>
  </si>
  <si>
    <t>СТОИМОСТЬ 3 КОНТУРА</t>
  </si>
  <si>
    <t>ВЕС УТЕПЛИТЕЛЯ</t>
  </si>
  <si>
    <t>ВЕС ТИЗОЛА</t>
  </si>
  <si>
    <t>ВЕС КОЛЕЦ</t>
  </si>
  <si>
    <t>КОЛЬЦА</t>
  </si>
  <si>
    <t>310 1</t>
  </si>
  <si>
    <t>310 0,8</t>
  </si>
  <si>
    <t>316 0,5</t>
  </si>
  <si>
    <t>-</t>
  </si>
  <si>
    <t>316 0,8</t>
  </si>
  <si>
    <t>430 0,8</t>
  </si>
  <si>
    <t>430 1</t>
  </si>
  <si>
    <t>304 1</t>
  </si>
  <si>
    <t>321 0,5</t>
  </si>
  <si>
    <t>321 0,8</t>
  </si>
  <si>
    <t>321 1</t>
  </si>
  <si>
    <t>316 1</t>
  </si>
  <si>
    <t>444 0,5</t>
  </si>
  <si>
    <t>444 0,8</t>
  </si>
  <si>
    <t>444 1</t>
  </si>
  <si>
    <t>Для списка</t>
  </si>
  <si>
    <t>Сделать толще</t>
  </si>
  <si>
    <t>Оц. 1,5</t>
  </si>
  <si>
    <t>430 1,5</t>
  </si>
  <si>
    <t>СПИСАНИЕ</t>
  </si>
  <si>
    <t>СТАЛЬ</t>
  </si>
  <si>
    <t>ПАРАМЕТРЫ</t>
  </si>
  <si>
    <t>СТОИМОСТЬ</t>
  </si>
  <si>
    <t>Чернина 1,5</t>
  </si>
  <si>
    <t>Старт-заглушка</t>
  </si>
  <si>
    <t>Р/П</t>
  </si>
  <si>
    <t>Дроссель-клапан</t>
  </si>
  <si>
    <t>Стеновое</t>
  </si>
  <si>
    <t>Х</t>
  </si>
  <si>
    <t>Y</t>
  </si>
  <si>
    <t>Z</t>
  </si>
  <si>
    <t>Консоль</t>
  </si>
  <si>
    <t>304(з)</t>
  </si>
  <si>
    <t>Ст3</t>
  </si>
  <si>
    <t>430 2</t>
  </si>
  <si>
    <t>Оц. 2</t>
  </si>
  <si>
    <t>304 1,5</t>
  </si>
  <si>
    <t>304 2</t>
  </si>
  <si>
    <t>304(з) 0,5</t>
  </si>
  <si>
    <t>304(з) 0,8</t>
  </si>
  <si>
    <t>316 2</t>
  </si>
  <si>
    <t>Ст3 3</t>
  </si>
  <si>
    <t>Ст3 5</t>
  </si>
  <si>
    <t>321 1,5</t>
  </si>
  <si>
    <t>304 1,2</t>
  </si>
  <si>
    <t>304(з) 1</t>
  </si>
  <si>
    <t>304(з) 1,5</t>
  </si>
  <si>
    <t>316 1,2</t>
  </si>
  <si>
    <t>Тройник 90°</t>
  </si>
  <si>
    <t>Тройник 45°</t>
  </si>
  <si>
    <t>Отвод 90°</t>
  </si>
  <si>
    <t>Расчёт (болтов/гаек/шайб)</t>
  </si>
  <si>
    <t xml:space="preserve">Цена
(продажная) </t>
  </si>
  <si>
    <t>Крепление</t>
  </si>
  <si>
    <t>Тип</t>
  </si>
  <si>
    <r>
      <t xml:space="preserve">Кол-во комп-ов на 
</t>
    </r>
    <r>
      <rPr>
        <b/>
        <sz val="10"/>
        <color theme="1"/>
        <rFont val="Calibri"/>
        <family val="2"/>
        <charset val="204"/>
        <scheme val="minor"/>
      </rPr>
      <t xml:space="preserve">1 Р/п. </t>
    </r>
  </si>
  <si>
    <t>Кол-во</t>
  </si>
  <si>
    <t>Запас</t>
  </si>
  <si>
    <t>Разгрузочная площадка к консоли</t>
  </si>
  <si>
    <t>М8</t>
  </si>
  <si>
    <t>Консоль к направляющей</t>
  </si>
  <si>
    <t>М10</t>
  </si>
  <si>
    <t>Болт М8х35, Гайка М8, Шайба плоская М8, Шайба пружинная М8</t>
  </si>
  <si>
    <t>Итог М8</t>
  </si>
  <si>
    <t>с запасом</t>
  </si>
  <si>
    <t>Болт М10х80, Гайка М10, Шайба усиленная М10, Шайба пружинная М10</t>
  </si>
  <si>
    <t>Итог М10</t>
  </si>
  <si>
    <r>
      <t xml:space="preserve">ПРИМЕЧАНИЕ:   </t>
    </r>
    <r>
      <rPr>
        <b/>
        <sz val="10"/>
        <color theme="1"/>
        <rFont val="Calibri"/>
        <family val="2"/>
        <scheme val="minor"/>
      </rPr>
      <t>-</t>
    </r>
    <r>
      <rPr>
        <sz val="10"/>
        <color theme="1"/>
        <rFont val="Calibri"/>
        <family val="2"/>
        <scheme val="minor"/>
      </rPr>
      <t xml:space="preserve"> На площадку размером </t>
    </r>
    <r>
      <rPr>
        <sz val="10"/>
        <color theme="1"/>
        <rFont val="Calibri"/>
        <family val="2"/>
      </rPr>
      <t xml:space="preserve">≤ </t>
    </r>
    <r>
      <rPr>
        <sz val="10"/>
        <color theme="1"/>
        <rFont val="Calibri"/>
        <family val="2"/>
        <scheme val="minor"/>
      </rPr>
      <t xml:space="preserve">400 (мм.) 4 комплекта;  </t>
    </r>
    <r>
      <rPr>
        <b/>
        <sz val="10"/>
        <color theme="1"/>
        <rFont val="Calibri"/>
        <family val="2"/>
        <scheme val="minor"/>
      </rPr>
      <t>-</t>
    </r>
    <r>
      <rPr>
        <sz val="10"/>
        <color theme="1"/>
        <rFont val="Calibri"/>
        <family val="2"/>
        <scheme val="minor"/>
      </rPr>
      <t xml:space="preserve"> На площадку </t>
    </r>
    <r>
      <rPr>
        <sz val="10"/>
        <color theme="1"/>
        <rFont val="Calibri"/>
        <family val="2"/>
      </rPr>
      <t xml:space="preserve">&gt; </t>
    </r>
    <r>
      <rPr>
        <sz val="10"/>
        <color theme="1"/>
        <rFont val="Calibri"/>
        <family val="2"/>
        <scheme val="minor"/>
      </rPr>
      <t xml:space="preserve">400 (мм.) 6 комплектов
- При "вылете" 60 (мм.) 4 комплекта
</t>
    </r>
  </si>
  <si>
    <t>Расчёт герметика</t>
  </si>
  <si>
    <t>Расход 1ого
тюбика
(мм)</t>
  </si>
  <si>
    <r>
      <t xml:space="preserve">Диаметр
</t>
    </r>
    <r>
      <rPr>
        <b/>
        <sz val="9"/>
        <color theme="1"/>
        <rFont val="Calibri"/>
        <family val="2"/>
        <charset val="204"/>
        <scheme val="minor"/>
      </rPr>
      <t>внутр.</t>
    </r>
    <r>
      <rPr>
        <b/>
        <sz val="11"/>
        <color theme="1"/>
        <rFont val="Calibri"/>
        <family val="2"/>
        <charset val="204"/>
        <scheme val="minor"/>
      </rPr>
      <t xml:space="preserve">
(мм) </t>
    </r>
  </si>
  <si>
    <t>Длина 
окружности трубы</t>
  </si>
  <si>
    <t xml:space="preserve">Кол-во
стыков </t>
  </si>
  <si>
    <t>Длина
окружности
общая</t>
  </si>
  <si>
    <t>Кол-во тюбиков</t>
  </si>
  <si>
    <t>Газоход</t>
  </si>
  <si>
    <t>Дымовая</t>
  </si>
  <si>
    <t>Итог</t>
  </si>
  <si>
    <t>Комплект</t>
  </si>
  <si>
    <t>Стеновое к направляющей</t>
  </si>
  <si>
    <t xml:space="preserve">Кол-во </t>
  </si>
  <si>
    <t>не считать
 если 
крепление 
к стене</t>
  </si>
  <si>
    <t>Толщина утепления, мм</t>
  </si>
  <si>
    <t>Dвр.внут. минимум</t>
  </si>
  <si>
    <t>Dвр.нар.</t>
  </si>
  <si>
    <t>Dвнут. Газохода (мм.)</t>
  </si>
  <si>
    <t>Минимальный диаметр врезки</t>
  </si>
  <si>
    <t>Длина газохода (мм.)</t>
  </si>
  <si>
    <r>
      <t xml:space="preserve">1м3 = 0,05м2   x=V*0.05   </t>
    </r>
    <r>
      <rPr>
        <b/>
        <sz val="8"/>
        <color theme="1"/>
        <rFont val="Calibri"/>
        <family val="2"/>
        <charset val="204"/>
        <scheme val="minor"/>
      </rPr>
      <t>Rтреб =(Rисх^2*L*0,05)^0.5</t>
    </r>
  </si>
  <si>
    <t>Минимальный диаметр врезки на несколько ВК</t>
  </si>
  <si>
    <t>Dвнут. Газохода, мм</t>
  </si>
  <si>
    <t>Длина газохода, мм</t>
  </si>
  <si>
    <t>Колличество взрывных, шт.</t>
  </si>
  <si>
    <r>
      <t xml:space="preserve">1м3 = 0,05м2   x=V*0.05   </t>
    </r>
    <r>
      <rPr>
        <b/>
        <sz val="8"/>
        <color theme="1"/>
        <rFont val="Calibri"/>
        <family val="2"/>
        <charset val="204"/>
        <scheme val="minor"/>
      </rPr>
      <t>Dтреб =Dисх*(L*0,05/n)^0.5</t>
    </r>
  </si>
  <si>
    <t>Покраска</t>
  </si>
  <si>
    <t>Хомут</t>
  </si>
  <si>
    <t>321 2</t>
  </si>
  <si>
    <t>321 1,2</t>
  </si>
  <si>
    <t>316 1,5</t>
  </si>
  <si>
    <t>430 0,6</t>
  </si>
  <si>
    <t>Ст3 8</t>
  </si>
  <si>
    <t>430 1,2</t>
  </si>
  <si>
    <r>
      <t xml:space="preserve">Кол-во комп-ов на 
</t>
    </r>
    <r>
      <rPr>
        <b/>
        <sz val="10"/>
        <color theme="1"/>
        <rFont val="Calibri"/>
        <family val="2"/>
        <charset val="204"/>
        <scheme val="minor"/>
      </rPr>
      <t xml:space="preserve">1 эл. </t>
    </r>
  </si>
  <si>
    <t>Итог М6</t>
  </si>
  <si>
    <t>Болт М6х55, Гайка М6, Шайба плоская М6, Шайба плоская М6</t>
  </si>
  <si>
    <t>Хомут-растяжка</t>
  </si>
  <si>
    <t>304(з) 1,2</t>
  </si>
  <si>
    <t>304(з) 2</t>
  </si>
  <si>
    <t>Отвод 45</t>
  </si>
  <si>
    <t>Отвод 45°</t>
  </si>
  <si>
    <t>Отвод 30°</t>
  </si>
  <si>
    <t>Отвод 60°</t>
  </si>
  <si>
    <t>ф1</t>
  </si>
  <si>
    <t>ф2</t>
  </si>
  <si>
    <t>ф3</t>
  </si>
  <si>
    <t>Тройник 90</t>
  </si>
  <si>
    <t>Тройник 45</t>
  </si>
  <si>
    <t>Отвод 90</t>
  </si>
  <si>
    <t>Отвод 60</t>
  </si>
  <si>
    <t>1 контур</t>
  </si>
  <si>
    <t>2 контур</t>
  </si>
  <si>
    <t>3 контур</t>
  </si>
  <si>
    <t>коэф 1</t>
  </si>
  <si>
    <t>коэф 2</t>
  </si>
  <si>
    <t>коэф 3</t>
  </si>
  <si>
    <t>Стандарт</t>
  </si>
  <si>
    <t>Отвод 30</t>
  </si>
  <si>
    <t>Взрывная врезка</t>
  </si>
  <si>
    <t>М6</t>
  </si>
  <si>
    <t>Уши (пара)</t>
  </si>
  <si>
    <t>Оц. 0,5</t>
  </si>
  <si>
    <t>Оц. 0,7</t>
  </si>
  <si>
    <t>Оц. 1</t>
  </si>
  <si>
    <t>Ст5</t>
  </si>
  <si>
    <t>Цена по запросу</t>
  </si>
  <si>
    <t>Утеплитель МП100 50</t>
  </si>
  <si>
    <t>Оц. 0,6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</si>
</sst>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-* #,##0.00\ &quot;₽&quot;_-;\-* #,##0.00\ &quot;₽&quot;_-;_-* &quot;-&quot;??\ &quot;₽&quot;_-;_-@_-"/>
    <numFmt numFmtId="164" formatCode="#,##0.00\ &quot;₽&quot;"/>
    <numFmt numFmtId="165" formatCode="0.0"/>
    <numFmt numFmtId="166" formatCode="0.000"/>
  </numFmts>
  <fonts count="28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3"/>
      <color theme="1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b/>
      <sz val="10"/>
      <color theme="1" tint="4.9989318521683403E-2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10"/>
      <color theme="0" tint="-0.499984740745262"/>
      <name val="Calibri"/>
      <family val="2"/>
      <charset val="204"/>
      <scheme val="minor"/>
    </font>
    <font>
      <sz val="10"/>
      <color theme="1" tint="0.499984740745262"/>
      <name val="Calibri"/>
      <family val="2"/>
      <charset val="204"/>
      <scheme val="minor"/>
    </font>
    <font>
      <b/>
      <sz val="10"/>
      <color theme="1" tint="0.14999847407452621"/>
      <name val="Calibri"/>
      <family val="2"/>
      <charset val="204"/>
      <scheme val="minor"/>
    </font>
    <font>
      <sz val="11"/>
      <color theme="1" tint="0.14999847407452621"/>
      <name val="Calibri"/>
      <family val="2"/>
      <charset val="204"/>
      <scheme val="minor"/>
    </font>
    <font>
      <sz val="10"/>
      <color theme="1" tint="0.14999847407452621"/>
      <name val="Calibri"/>
      <family val="2"/>
      <charset val="204"/>
      <scheme val="minor"/>
    </font>
    <font>
      <b/>
      <vertAlign val="superscript"/>
      <sz val="10"/>
      <color theme="1" tint="0.14999847407452621"/>
      <name val="Calibri"/>
      <family val="2"/>
      <charset val="204"/>
      <scheme val="minor"/>
    </font>
    <font>
      <b/>
      <sz val="10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</font>
    <font>
      <b/>
      <sz val="9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15"/>
      <name val="Calibri"/>
      <family val="2"/>
      <charset val="204"/>
      <scheme val="minor"/>
    </font>
    <font>
      <b/>
      <sz val="8"/>
      <color theme="1"/>
      <name val="Calibri"/>
      <family val="2"/>
      <charset val="204"/>
      <scheme val="minor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8F8F8"/>
        <bgColor indexed="64"/>
      </patternFill>
    </fill>
    <fill>
      <patternFill patternType="solid">
        <fgColor rgb="FFFF828C"/>
        <bgColor indexed="64"/>
      </patternFill>
    </fill>
    <fill>
      <patternFill patternType="solid">
        <fgColor rgb="FFFF8C91"/>
        <bgColor indexed="64"/>
      </patternFill>
    </fill>
    <fill>
      <patternFill patternType="solid">
        <fgColor rgb="FFFF969B"/>
        <bgColor indexed="64"/>
      </patternFill>
    </fill>
    <fill>
      <patternFill patternType="solid">
        <fgColor rgb="FFFFA0A5"/>
        <bgColor indexed="64"/>
      </patternFill>
    </fill>
    <fill>
      <patternFill patternType="solid">
        <fgColor rgb="FFFFAAAF"/>
        <bgColor indexed="64"/>
      </patternFill>
    </fill>
    <fill>
      <patternFill patternType="solid">
        <fgColor rgb="FFFFB4B9"/>
        <bgColor indexed="64"/>
      </patternFill>
    </fill>
    <fill>
      <patternFill patternType="solid">
        <fgColor rgb="FFFFBEC3"/>
        <bgColor indexed="64"/>
      </patternFill>
    </fill>
    <fill>
      <patternFill patternType="solid">
        <fgColor rgb="FFFFC8CD"/>
        <bgColor indexed="64"/>
      </patternFill>
    </fill>
    <fill>
      <patternFill patternType="solid">
        <fgColor rgb="FFFFD2D7"/>
        <bgColor indexed="64"/>
      </patternFill>
    </fill>
    <fill>
      <patternFill patternType="solid">
        <fgColor rgb="FFF8F8F8"/>
        <bgColor indexed="27"/>
      </patternFill>
    </fill>
    <fill>
      <patternFill patternType="solid">
        <fgColor rgb="FFF8F8F8"/>
        <bgColor indexed="26"/>
      </patternFill>
    </fill>
    <fill>
      <patternFill patternType="solid">
        <fgColor rgb="FFFF757F"/>
        <bgColor indexed="64"/>
      </patternFill>
    </fill>
    <fill>
      <patternFill patternType="solid">
        <fgColor rgb="FFB9D9A3"/>
        <bgColor indexed="64"/>
      </patternFill>
    </fill>
    <fill>
      <patternFill patternType="solid">
        <fgColor rgb="FFC6E0B6"/>
        <bgColor indexed="64"/>
      </patternFill>
    </fill>
    <fill>
      <patternFill patternType="solid">
        <fgColor rgb="FFD8EACE"/>
        <bgColor indexed="64"/>
      </patternFill>
    </fill>
    <fill>
      <patternFill patternType="solid">
        <fgColor rgb="FFF4F9F1"/>
        <bgColor indexed="64"/>
      </patternFill>
    </fill>
    <fill>
      <patternFill patternType="solid">
        <fgColor rgb="FFEDF1F9"/>
        <bgColor indexed="64"/>
      </patternFill>
    </fill>
    <fill>
      <patternFill patternType="solid">
        <fgColor rgb="FFFEE6DE"/>
        <bgColor indexed="64"/>
      </patternFill>
    </fill>
    <fill>
      <patternFill patternType="solid">
        <fgColor rgb="FFFDD1C3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theme="9" tint="-0.249977111117893"/>
      </left>
      <right/>
      <top style="medium">
        <color theme="9" tint="-0.249977111117893"/>
      </top>
      <bottom/>
      <diagonal/>
    </border>
    <border>
      <left/>
      <right/>
      <top style="medium">
        <color theme="9" tint="-0.249977111117893"/>
      </top>
      <bottom/>
      <diagonal/>
    </border>
    <border>
      <left/>
      <right style="medium">
        <color theme="9" tint="-0.249977111117893"/>
      </right>
      <top style="medium">
        <color theme="9" tint="-0.249977111117893"/>
      </top>
      <bottom/>
      <diagonal/>
    </border>
    <border>
      <left style="medium">
        <color theme="9" tint="-0.249977111117893"/>
      </left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9" tint="-0.249977111117893"/>
      </right>
      <top/>
      <bottom/>
      <diagonal/>
    </border>
    <border>
      <left style="medium">
        <color theme="9" tint="-0.249977111117893"/>
      </left>
      <right/>
      <top/>
      <bottom style="medium">
        <color theme="9" tint="-0.249977111117893"/>
      </bottom>
      <diagonal/>
    </border>
    <border>
      <left/>
      <right/>
      <top/>
      <bottom style="medium">
        <color theme="9" tint="-0.249977111117893"/>
      </bottom>
      <diagonal/>
    </border>
    <border>
      <left/>
      <right style="medium">
        <color theme="9" tint="-0.249977111117893"/>
      </right>
      <top/>
      <bottom style="medium">
        <color theme="9" tint="-0.249977111117893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9" tint="-0.249977111117893"/>
      </left>
      <right style="medium">
        <color theme="0"/>
      </right>
      <top/>
      <bottom/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/>
      <bottom/>
      <diagonal/>
    </border>
    <border>
      <left style="medium">
        <color theme="9" tint="-0.249977111117893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9" tint="-0.249977111117893"/>
      </right>
      <top style="medium">
        <color theme="0"/>
      </top>
      <bottom style="medium">
        <color theme="0"/>
      </bottom>
      <diagonal/>
    </border>
    <border>
      <left style="medium">
        <color theme="9" tint="-0.249977111117893"/>
      </left>
      <right/>
      <top style="medium">
        <color theme="0"/>
      </top>
      <bottom style="medium">
        <color theme="0"/>
      </bottom>
      <diagonal/>
    </border>
    <border>
      <left/>
      <right style="medium">
        <color theme="9" tint="-0.249977111117893"/>
      </right>
      <top style="medium">
        <color theme="0"/>
      </top>
      <bottom style="medium">
        <color theme="0"/>
      </bottom>
      <diagonal/>
    </border>
    <border>
      <left style="medium">
        <color theme="9" tint="-0.249977111117893"/>
      </left>
      <right style="medium">
        <color theme="0"/>
      </right>
      <top style="medium">
        <color theme="0"/>
      </top>
      <bottom style="medium">
        <color theme="9" tint="-0.249977111117893"/>
      </bottom>
      <diagonal/>
    </border>
    <border>
      <left style="medium">
        <color theme="0"/>
      </left>
      <right style="medium">
        <color theme="9" tint="-0.249977111117893"/>
      </right>
      <top style="medium">
        <color theme="0"/>
      </top>
      <bottom style="medium">
        <color theme="9" tint="-0.249977111117893"/>
      </bottom>
      <diagonal/>
    </border>
    <border>
      <left style="medium">
        <color theme="0"/>
      </left>
      <right style="medium">
        <color theme="0"/>
      </right>
      <top/>
      <bottom/>
      <diagonal/>
    </border>
  </borders>
  <cellStyleXfs count="4">
    <xf numFmtId="0" fontId="0" fillId="0" borderId="0"/>
    <xf numFmtId="0" fontId="4" fillId="3" borderId="0" applyNumberFormat="0" applyBorder="0" applyAlignment="0" applyProtection="0"/>
    <xf numFmtId="0" fontId="5" fillId="4" borderId="0" applyNumberFormat="0" applyBorder="0" applyAlignment="0" applyProtection="0"/>
    <xf numFmtId="44" fontId="18" fillId="0" borderId="0" applyFont="0" applyFill="0" applyBorder="0" applyAlignment="0" applyProtection="0"/>
  </cellStyleXfs>
  <cellXfs count="261">
    <xf numFmtId="0" fontId="0" fillId="0" borderId="0" xfId="0"/>
    <xf numFmtId="0" fontId="0" fillId="5" borderId="0" xfId="0" applyFill="1"/>
    <xf numFmtId="0" fontId="0" fillId="2" borderId="3" xfId="0" applyFill="1" applyBorder="1"/>
    <xf numFmtId="0" fontId="8" fillId="6" borderId="1" xfId="0" applyFont="1" applyFill="1" applyBorder="1" applyAlignment="1">
      <alignment horizontal="center" vertical="center"/>
    </xf>
    <xf numFmtId="0" fontId="0" fillId="5" borderId="0" xfId="0" applyFill="1" applyBorder="1"/>
    <xf numFmtId="0" fontId="0" fillId="5" borderId="0" xfId="0" applyFill="1" applyBorder="1" applyAlignment="1">
      <alignment vertical="center"/>
    </xf>
    <xf numFmtId="0" fontId="7" fillId="5" borderId="0" xfId="0" applyFont="1" applyFill="1" applyAlignment="1">
      <alignment horizontal="center" vertical="center"/>
    </xf>
    <xf numFmtId="0" fontId="0" fillId="5" borderId="0" xfId="0" applyFill="1" applyBorder="1" applyAlignment="1">
      <alignment horizontal="center" vertical="center"/>
    </xf>
    <xf numFmtId="0" fontId="7" fillId="5" borderId="0" xfId="0" applyFont="1" applyFill="1" applyBorder="1"/>
    <xf numFmtId="0" fontId="7" fillId="5" borderId="0" xfId="0" applyFont="1" applyFill="1" applyBorder="1" applyAlignment="1">
      <alignment vertical="center"/>
    </xf>
    <xf numFmtId="0" fontId="9" fillId="6" borderId="1" xfId="0" applyFont="1" applyFill="1" applyBorder="1" applyAlignment="1">
      <alignment horizontal="center" vertical="center"/>
    </xf>
    <xf numFmtId="0" fontId="7" fillId="5" borderId="0" xfId="0" applyFont="1" applyFill="1"/>
    <xf numFmtId="0" fontId="10" fillId="12" borderId="1" xfId="0" applyFont="1" applyFill="1" applyBorder="1" applyAlignment="1">
      <alignment horizontal="center" vertical="center"/>
    </xf>
    <xf numFmtId="0" fontId="11" fillId="10" borderId="1" xfId="0" applyFont="1" applyFill="1" applyBorder="1" applyAlignment="1">
      <alignment horizontal="center" vertical="center"/>
    </xf>
    <xf numFmtId="0" fontId="0" fillId="5" borderId="0" xfId="0" applyFill="1" applyBorder="1" applyAlignment="1">
      <alignment horizontal="center" vertical="center" wrapText="1"/>
    </xf>
    <xf numFmtId="0" fontId="6" fillId="15" borderId="0" xfId="1" applyFont="1" applyFill="1" applyBorder="1" applyAlignment="1">
      <alignment vertical="center" wrapText="1"/>
    </xf>
    <xf numFmtId="0" fontId="6" fillId="5" borderId="0" xfId="0" applyFont="1" applyFill="1" applyBorder="1" applyAlignment="1">
      <alignment horizontal="center" vertical="center"/>
    </xf>
    <xf numFmtId="0" fontId="6" fillId="5" borderId="0" xfId="0" applyFont="1" applyFill="1" applyBorder="1" applyAlignment="1">
      <alignment vertical="center"/>
    </xf>
    <xf numFmtId="0" fontId="6" fillId="5" borderId="0" xfId="0" applyFont="1" applyFill="1" applyBorder="1"/>
    <xf numFmtId="0" fontId="6" fillId="15" borderId="0" xfId="1" applyFont="1" applyFill="1" applyBorder="1" applyAlignment="1">
      <alignment horizontal="center" vertical="center"/>
    </xf>
    <xf numFmtId="0" fontId="6" fillId="5" borderId="0" xfId="0" applyFont="1" applyFill="1"/>
    <xf numFmtId="0" fontId="2" fillId="5" borderId="0" xfId="0" applyFont="1" applyFill="1" applyBorder="1" applyAlignment="1">
      <alignment horizontal="center" vertical="center"/>
    </xf>
    <xf numFmtId="165" fontId="6" fillId="5" borderId="0" xfId="0" applyNumberFormat="1" applyFont="1" applyFill="1" applyBorder="1" applyAlignment="1">
      <alignment horizontal="center" vertical="center"/>
    </xf>
    <xf numFmtId="164" fontId="1" fillId="5" borderId="0" xfId="0" applyNumberFormat="1" applyFont="1" applyFill="1" applyBorder="1" applyAlignment="1">
      <alignment horizontal="center" vertical="center"/>
    </xf>
    <xf numFmtId="0" fontId="2" fillId="5" borderId="0" xfId="0" applyFont="1" applyFill="1" applyBorder="1"/>
    <xf numFmtId="0" fontId="3" fillId="5" borderId="0" xfId="0" applyFont="1" applyFill="1" applyBorder="1"/>
    <xf numFmtId="0" fontId="7" fillId="5" borderId="0" xfId="0" applyFont="1" applyFill="1" applyBorder="1" applyAlignment="1">
      <alignment horizontal="center" vertical="center"/>
    </xf>
    <xf numFmtId="0" fontId="10" fillId="5" borderId="0" xfId="0" applyFont="1" applyFill="1" applyBorder="1" applyAlignment="1">
      <alignment horizontal="center" vertical="center"/>
    </xf>
    <xf numFmtId="0" fontId="11" fillId="5" borderId="0" xfId="0" applyFont="1" applyFill="1" applyBorder="1" applyAlignment="1">
      <alignment horizontal="center" vertical="center"/>
    </xf>
    <xf numFmtId="0" fontId="0" fillId="2" borderId="10" xfId="0" applyFill="1" applyBorder="1"/>
    <xf numFmtId="0" fontId="10" fillId="5" borderId="0" xfId="0" applyFont="1" applyFill="1" applyBorder="1" applyAlignment="1">
      <alignment vertical="center"/>
    </xf>
    <xf numFmtId="0" fontId="11" fillId="5" borderId="0" xfId="0" applyFont="1" applyFill="1" applyBorder="1" applyAlignment="1">
      <alignment vertical="center"/>
    </xf>
    <xf numFmtId="0" fontId="6" fillId="5" borderId="0" xfId="0" applyNumberFormat="1" applyFont="1" applyFill="1" applyBorder="1" applyAlignment="1">
      <alignment vertical="center"/>
    </xf>
    <xf numFmtId="0" fontId="11" fillId="2" borderId="2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2" fillId="6" borderId="1" xfId="0" applyFont="1" applyFill="1" applyBorder="1" applyAlignment="1">
      <alignment horizontal="center" vertical="center"/>
    </xf>
    <xf numFmtId="0" fontId="12" fillId="6" borderId="1" xfId="0" applyFont="1" applyFill="1" applyBorder="1" applyAlignment="1">
      <alignment horizontal="center" vertical="center" wrapText="1"/>
    </xf>
    <xf numFmtId="0" fontId="13" fillId="2" borderId="3" xfId="0" applyFont="1" applyFill="1" applyBorder="1"/>
    <xf numFmtId="0" fontId="14" fillId="2" borderId="7" xfId="0" applyFont="1" applyFill="1" applyBorder="1" applyAlignment="1">
      <alignment horizontal="left" vertical="center"/>
    </xf>
    <xf numFmtId="0" fontId="14" fillId="2" borderId="7" xfId="0" applyFont="1" applyFill="1" applyBorder="1" applyAlignment="1">
      <alignment horizontal="center" vertical="center"/>
    </xf>
    <xf numFmtId="2" fontId="14" fillId="2" borderId="1" xfId="0" applyNumberFormat="1" applyFont="1" applyFill="1" applyBorder="1" applyAlignment="1">
      <alignment vertical="center"/>
    </xf>
    <xf numFmtId="0" fontId="14" fillId="2" borderId="8" xfId="0" applyFont="1" applyFill="1" applyBorder="1" applyAlignment="1">
      <alignment horizontal="center" vertical="center"/>
    </xf>
    <xf numFmtId="0" fontId="14" fillId="2" borderId="4" xfId="0" applyFont="1" applyFill="1" applyBorder="1" applyAlignment="1">
      <alignment horizontal="center" vertical="center"/>
    </xf>
    <xf numFmtId="0" fontId="14" fillId="2" borderId="9" xfId="0" applyFont="1" applyFill="1" applyBorder="1" applyAlignment="1">
      <alignment horizontal="center" vertical="center"/>
    </xf>
    <xf numFmtId="0" fontId="14" fillId="2" borderId="7" xfId="0" applyFont="1" applyFill="1" applyBorder="1" applyAlignment="1">
      <alignment horizontal="left" vertical="center" wrapText="1"/>
    </xf>
    <xf numFmtId="0" fontId="14" fillId="2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 wrapText="1"/>
    </xf>
    <xf numFmtId="0" fontId="14" fillId="2" borderId="3" xfId="0" applyFont="1" applyFill="1" applyBorder="1" applyAlignment="1">
      <alignment horizontal="center" vertical="center"/>
    </xf>
    <xf numFmtId="0" fontId="14" fillId="14" borderId="1" xfId="0" applyFont="1" applyFill="1" applyBorder="1" applyAlignment="1">
      <alignment horizontal="center" vertical="center"/>
    </xf>
    <xf numFmtId="165" fontId="14" fillId="13" borderId="1" xfId="0" applyNumberFormat="1" applyFont="1" applyFill="1" applyBorder="1" applyAlignment="1">
      <alignment horizontal="center" vertical="center"/>
    </xf>
    <xf numFmtId="2" fontId="14" fillId="13" borderId="1" xfId="0" applyNumberFormat="1" applyFont="1" applyFill="1" applyBorder="1" applyAlignment="1">
      <alignment horizontal="center" vertical="center"/>
    </xf>
    <xf numFmtId="165" fontId="14" fillId="12" borderId="1" xfId="0" applyNumberFormat="1" applyFont="1" applyFill="1" applyBorder="1" applyAlignment="1">
      <alignment horizontal="center" vertical="center"/>
    </xf>
    <xf numFmtId="165" fontId="14" fillId="11" borderId="1" xfId="0" applyNumberFormat="1" applyFont="1" applyFill="1" applyBorder="1" applyAlignment="1">
      <alignment horizontal="center" vertical="center"/>
    </xf>
    <xf numFmtId="165" fontId="14" fillId="10" borderId="1" xfId="0" applyNumberFormat="1" applyFont="1" applyFill="1" applyBorder="1" applyAlignment="1">
      <alignment horizontal="center" vertical="center"/>
    </xf>
    <xf numFmtId="165" fontId="14" fillId="9" borderId="1" xfId="0" applyNumberFormat="1" applyFont="1" applyFill="1" applyBorder="1" applyAlignment="1">
      <alignment horizontal="center" vertical="center"/>
    </xf>
    <xf numFmtId="165" fontId="14" fillId="8" borderId="1" xfId="0" applyNumberFormat="1" applyFont="1" applyFill="1" applyBorder="1" applyAlignment="1">
      <alignment horizontal="center" vertical="center"/>
    </xf>
    <xf numFmtId="165" fontId="14" fillId="7" borderId="1" xfId="0" applyNumberFormat="1" applyFont="1" applyFill="1" applyBorder="1" applyAlignment="1">
      <alignment horizontal="center" vertical="center"/>
    </xf>
    <xf numFmtId="0" fontId="14" fillId="6" borderId="1" xfId="0" applyFont="1" applyFill="1" applyBorder="1" applyAlignment="1">
      <alignment horizontal="center" vertical="center"/>
    </xf>
    <xf numFmtId="0" fontId="14" fillId="2" borderId="5" xfId="0" applyFont="1" applyFill="1" applyBorder="1" applyAlignment="1">
      <alignment horizontal="left" vertical="center"/>
    </xf>
    <xf numFmtId="0" fontId="14" fillId="2" borderId="1" xfId="0" applyFont="1" applyFill="1" applyBorder="1" applyAlignment="1">
      <alignment horizontal="center" vertical="center"/>
    </xf>
    <xf numFmtId="0" fontId="14" fillId="2" borderId="8" xfId="0" applyNumberFormat="1" applyFont="1" applyFill="1" applyBorder="1" applyAlignment="1">
      <alignment horizontal="center" vertical="center"/>
    </xf>
    <xf numFmtId="0" fontId="14" fillId="2" borderId="8" xfId="0" applyFont="1" applyFill="1" applyBorder="1" applyAlignment="1">
      <alignment vertical="center"/>
    </xf>
    <xf numFmtId="0" fontId="14" fillId="2" borderId="1" xfId="0" applyNumberFormat="1" applyFont="1" applyFill="1" applyBorder="1" applyAlignment="1">
      <alignment horizontal="center" vertical="center"/>
    </xf>
    <xf numFmtId="0" fontId="14" fillId="2" borderId="6" xfId="0" applyFont="1" applyFill="1" applyBorder="1" applyAlignment="1">
      <alignment horizontal="center" vertical="center"/>
    </xf>
    <xf numFmtId="0" fontId="14" fillId="2" borderId="8" xfId="0" applyFont="1" applyFill="1" applyBorder="1" applyAlignment="1">
      <alignment horizontal="left" vertical="center"/>
    </xf>
    <xf numFmtId="0" fontId="14" fillId="2" borderId="3" xfId="0" applyNumberFormat="1" applyFont="1" applyFill="1" applyBorder="1" applyAlignment="1">
      <alignment horizontal="center" vertical="center"/>
    </xf>
    <xf numFmtId="0" fontId="14" fillId="2" borderId="8" xfId="0" applyFont="1" applyFill="1" applyBorder="1" applyAlignment="1">
      <alignment horizontal="left" vertical="center" wrapText="1"/>
    </xf>
    <xf numFmtId="0" fontId="14" fillId="2" borderId="5" xfId="0" applyFont="1" applyFill="1" applyBorder="1" applyAlignment="1">
      <alignment horizontal="center" vertical="center"/>
    </xf>
    <xf numFmtId="0" fontId="14" fillId="14" borderId="1" xfId="0" applyFont="1" applyFill="1" applyBorder="1" applyAlignment="1">
      <alignment horizontal="center" vertical="center" wrapText="1"/>
    </xf>
    <xf numFmtId="166" fontId="14" fillId="2" borderId="1" xfId="0" applyNumberFormat="1" applyFont="1" applyFill="1" applyBorder="1" applyAlignment="1">
      <alignment vertical="center"/>
    </xf>
    <xf numFmtId="0" fontId="14" fillId="13" borderId="1" xfId="0" applyFont="1" applyFill="1" applyBorder="1" applyAlignment="1">
      <alignment horizontal="center" vertical="center"/>
    </xf>
    <xf numFmtId="0" fontId="14" fillId="12" borderId="1" xfId="0" applyFont="1" applyFill="1" applyBorder="1" applyAlignment="1">
      <alignment horizontal="center" vertical="center"/>
    </xf>
    <xf numFmtId="0" fontId="14" fillId="14" borderId="1" xfId="0" applyFont="1" applyFill="1" applyBorder="1" applyAlignment="1">
      <alignment horizontal="center" vertical="center"/>
    </xf>
    <xf numFmtId="0" fontId="10" fillId="12" borderId="1" xfId="0" applyFont="1" applyFill="1" applyBorder="1" applyAlignment="1">
      <alignment horizontal="center" vertical="center"/>
    </xf>
    <xf numFmtId="0" fontId="11" fillId="10" borderId="1" xfId="0" applyFont="1" applyFill="1" applyBorder="1" applyAlignment="1">
      <alignment horizontal="center" vertical="center"/>
    </xf>
    <xf numFmtId="0" fontId="7" fillId="14" borderId="1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16" fillId="6" borderId="1" xfId="0" applyFont="1" applyFill="1" applyBorder="1" applyAlignment="1">
      <alignment horizontal="center" vertical="center"/>
    </xf>
    <xf numFmtId="0" fontId="12" fillId="6" borderId="7" xfId="0" applyFont="1" applyFill="1" applyBorder="1" applyAlignment="1">
      <alignment horizontal="center" vertical="center"/>
    </xf>
    <xf numFmtId="0" fontId="12" fillId="6" borderId="3" xfId="0" applyFont="1" applyFill="1" applyBorder="1" applyAlignment="1">
      <alignment horizontal="center" vertical="center" wrapText="1"/>
    </xf>
    <xf numFmtId="0" fontId="12" fillId="5" borderId="12" xfId="0" applyFont="1" applyFill="1" applyBorder="1" applyAlignment="1">
      <alignment horizontal="center" vertical="center" wrapText="1"/>
    </xf>
    <xf numFmtId="0" fontId="12" fillId="5" borderId="0" xfId="0" applyFont="1" applyFill="1" applyBorder="1" applyAlignment="1">
      <alignment horizontal="center" vertical="center" wrapText="1"/>
    </xf>
    <xf numFmtId="2" fontId="14" fillId="5" borderId="12" xfId="0" applyNumberFormat="1" applyFont="1" applyFill="1" applyBorder="1" applyAlignment="1">
      <alignment vertical="center"/>
    </xf>
    <xf numFmtId="2" fontId="14" fillId="5" borderId="0" xfId="0" applyNumberFormat="1" applyFont="1" applyFill="1" applyBorder="1" applyAlignment="1">
      <alignment vertical="center"/>
    </xf>
    <xf numFmtId="0" fontId="14" fillId="5" borderId="0" xfId="0" applyFont="1" applyFill="1" applyBorder="1" applyAlignment="1">
      <alignment vertical="center"/>
    </xf>
    <xf numFmtId="2" fontId="0" fillId="5" borderId="0" xfId="0" applyNumberFormat="1" applyFill="1" applyBorder="1"/>
    <xf numFmtId="164" fontId="0" fillId="5" borderId="0" xfId="0" applyNumberFormat="1" applyFill="1" applyBorder="1"/>
    <xf numFmtId="0" fontId="0" fillId="5" borderId="0" xfId="0" applyFont="1" applyFill="1" applyBorder="1"/>
    <xf numFmtId="0" fontId="1" fillId="5" borderId="0" xfId="0" applyFont="1" applyFill="1" applyBorder="1"/>
    <xf numFmtId="0" fontId="6" fillId="16" borderId="0" xfId="2" applyFont="1" applyFill="1" applyBorder="1" applyAlignment="1">
      <alignment horizontal="center" vertical="center"/>
    </xf>
    <xf numFmtId="0" fontId="6" fillId="5" borderId="0" xfId="0" applyFont="1" applyFill="1" applyAlignment="1">
      <alignment horizontal="center" vertical="center"/>
    </xf>
    <xf numFmtId="0" fontId="6" fillId="5" borderId="0" xfId="0" applyFont="1" applyFill="1" applyBorder="1" applyAlignment="1">
      <alignment horizontal="center" vertical="center"/>
    </xf>
    <xf numFmtId="2" fontId="14" fillId="2" borderId="2" xfId="0" applyNumberFormat="1" applyFont="1" applyFill="1" applyBorder="1" applyAlignment="1">
      <alignment vertical="center"/>
    </xf>
    <xf numFmtId="0" fontId="14" fillId="2" borderId="1" xfId="0" applyFont="1" applyFill="1" applyBorder="1" applyAlignment="1">
      <alignment horizontal="center" vertical="center"/>
    </xf>
    <xf numFmtId="0" fontId="10" fillId="10" borderId="1" xfId="0" applyFont="1" applyFill="1" applyBorder="1" applyAlignment="1">
      <alignment horizontal="center" vertical="center"/>
    </xf>
    <xf numFmtId="0" fontId="11" fillId="1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/>
    </xf>
    <xf numFmtId="0" fontId="14" fillId="14" borderId="1" xfId="0" applyFont="1" applyFill="1" applyBorder="1" applyAlignment="1">
      <alignment horizontal="center" vertical="center"/>
    </xf>
    <xf numFmtId="2" fontId="6" fillId="2" borderId="1" xfId="0" applyNumberFormat="1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2" fontId="14" fillId="2" borderId="1" xfId="0" applyNumberFormat="1" applyFont="1" applyFill="1" applyBorder="1" applyAlignment="1">
      <alignment horizontal="center" vertical="center"/>
    </xf>
    <xf numFmtId="0" fontId="12" fillId="9" borderId="1" xfId="0" applyFont="1" applyFill="1" applyBorder="1" applyAlignment="1">
      <alignment horizontal="center" vertical="center"/>
    </xf>
    <xf numFmtId="0" fontId="14" fillId="13" borderId="1" xfId="0" applyFont="1" applyFill="1" applyBorder="1" applyAlignment="1">
      <alignment horizontal="center" vertical="center"/>
    </xf>
    <xf numFmtId="0" fontId="14" fillId="12" borderId="1" xfId="0" applyFont="1" applyFill="1" applyBorder="1" applyAlignment="1">
      <alignment horizontal="center" vertical="center"/>
    </xf>
    <xf numFmtId="0" fontId="14" fillId="11" borderId="1" xfId="0" applyFont="1" applyFill="1" applyBorder="1" applyAlignment="1">
      <alignment horizontal="center" vertical="center"/>
    </xf>
    <xf numFmtId="0" fontId="14" fillId="10" borderId="1" xfId="0" applyFont="1" applyFill="1" applyBorder="1" applyAlignment="1">
      <alignment horizontal="center" vertical="center"/>
    </xf>
    <xf numFmtId="0" fontId="14" fillId="9" borderId="1" xfId="0" applyFont="1" applyFill="1" applyBorder="1" applyAlignment="1">
      <alignment horizontal="center" vertical="center"/>
    </xf>
    <xf numFmtId="0" fontId="14" fillId="7" borderId="1" xfId="0" applyFont="1" applyFill="1" applyBorder="1" applyAlignment="1">
      <alignment horizontal="center" vertical="center"/>
    </xf>
    <xf numFmtId="0" fontId="14" fillId="8" borderId="1" xfId="0" applyFont="1" applyFill="1" applyBorder="1" applyAlignment="1">
      <alignment horizontal="center" vertical="center"/>
    </xf>
    <xf numFmtId="0" fontId="14" fillId="14" borderId="1" xfId="0" applyFont="1" applyFill="1" applyBorder="1" applyAlignment="1">
      <alignment horizontal="center" vertical="center"/>
    </xf>
    <xf numFmtId="165" fontId="14" fillId="6" borderId="1" xfId="0" applyNumberFormat="1" applyFont="1" applyFill="1" applyBorder="1" applyAlignment="1">
      <alignment horizontal="center" vertical="center"/>
    </xf>
    <xf numFmtId="0" fontId="14" fillId="17" borderId="1" xfId="0" applyFont="1" applyFill="1" applyBorder="1" applyAlignment="1">
      <alignment horizontal="center" vertical="center"/>
    </xf>
    <xf numFmtId="2" fontId="14" fillId="11" borderId="1" xfId="0" applyNumberFormat="1" applyFont="1" applyFill="1" applyBorder="1" applyAlignment="1">
      <alignment horizontal="center" vertical="center"/>
    </xf>
    <xf numFmtId="0" fontId="14" fillId="2" borderId="7" xfId="0" applyFont="1" applyFill="1" applyBorder="1" applyAlignment="1">
      <alignment horizontal="center" vertical="center"/>
    </xf>
    <xf numFmtId="0" fontId="14" fillId="6" borderId="1" xfId="0" applyFont="1" applyFill="1" applyBorder="1" applyAlignment="1">
      <alignment horizontal="center" vertical="center"/>
    </xf>
    <xf numFmtId="0" fontId="14" fillId="9" borderId="1" xfId="0" applyFont="1" applyFill="1" applyBorder="1" applyAlignment="1">
      <alignment horizontal="center" vertical="center"/>
    </xf>
    <xf numFmtId="0" fontId="14" fillId="14" borderId="1" xfId="0" applyFont="1" applyFill="1" applyBorder="1" applyAlignment="1">
      <alignment horizontal="center" vertical="center"/>
    </xf>
    <xf numFmtId="1" fontId="12" fillId="2" borderId="1" xfId="0" applyNumberFormat="1" applyFont="1" applyFill="1" applyBorder="1" applyAlignment="1">
      <alignment horizontal="center" vertical="center"/>
    </xf>
    <xf numFmtId="1" fontId="12" fillId="2" borderId="11" xfId="0" applyNumberFormat="1" applyFont="1" applyFill="1" applyBorder="1" applyAlignment="1">
      <alignment horizontal="center" vertical="center"/>
    </xf>
    <xf numFmtId="1" fontId="6" fillId="2" borderId="1" xfId="0" applyNumberFormat="1" applyFont="1" applyFill="1" applyBorder="1" applyAlignment="1">
      <alignment horizontal="center" vertical="center"/>
    </xf>
    <xf numFmtId="1" fontId="0" fillId="5" borderId="0" xfId="0" applyNumberFormat="1" applyFill="1"/>
    <xf numFmtId="1" fontId="8" fillId="6" borderId="1" xfId="0" applyNumberFormat="1" applyFont="1" applyFill="1" applyBorder="1" applyAlignment="1">
      <alignment horizontal="center" vertical="center"/>
    </xf>
    <xf numFmtId="1" fontId="6" fillId="2" borderId="2" xfId="0" applyNumberFormat="1" applyFont="1" applyFill="1" applyBorder="1" applyAlignment="1">
      <alignment horizontal="center" vertical="center"/>
    </xf>
    <xf numFmtId="0" fontId="0" fillId="2" borderId="15" xfId="0" applyFill="1" applyBorder="1"/>
    <xf numFmtId="0" fontId="0" fillId="2" borderId="16" xfId="0" applyFill="1" applyBorder="1"/>
    <xf numFmtId="0" fontId="0" fillId="0" borderId="17" xfId="0" applyBorder="1"/>
    <xf numFmtId="0" fontId="0" fillId="2" borderId="18" xfId="0" applyFill="1" applyBorder="1"/>
    <xf numFmtId="0" fontId="0" fillId="2" borderId="0" xfId="0" applyFill="1" applyBorder="1"/>
    <xf numFmtId="0" fontId="0" fillId="0" borderId="20" xfId="0" applyBorder="1"/>
    <xf numFmtId="0" fontId="0" fillId="2" borderId="18" xfId="0" applyFill="1" applyBorder="1" applyAlignment="1">
      <alignment horizontal="center" vertical="center" wrapText="1"/>
    </xf>
    <xf numFmtId="0" fontId="1" fillId="19" borderId="19" xfId="0" applyFont="1" applyFill="1" applyBorder="1" applyAlignment="1">
      <alignment horizontal="center" vertical="center"/>
    </xf>
    <xf numFmtId="0" fontId="1" fillId="19" borderId="19" xfId="0" applyFon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/>
    </xf>
    <xf numFmtId="164" fontId="0" fillId="2" borderId="18" xfId="0" applyNumberFormat="1" applyFill="1" applyBorder="1" applyAlignment="1">
      <alignment horizontal="center" vertical="center"/>
    </xf>
    <xf numFmtId="0" fontId="1" fillId="20" borderId="19" xfId="0" applyFont="1" applyFill="1" applyBorder="1" applyAlignment="1">
      <alignment horizontal="center" vertical="center" wrapText="1"/>
    </xf>
    <xf numFmtId="0" fontId="0" fillId="21" borderId="19" xfId="0" applyFill="1" applyBorder="1" applyAlignment="1">
      <alignment horizontal="center" vertical="center"/>
    </xf>
    <xf numFmtId="0" fontId="0" fillId="22" borderId="19" xfId="0" applyFill="1" applyBorder="1" applyAlignment="1">
      <alignment horizontal="center" vertical="center"/>
    </xf>
    <xf numFmtId="0" fontId="0" fillId="23" borderId="19" xfId="0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top"/>
    </xf>
    <xf numFmtId="0" fontId="0" fillId="2" borderId="0" xfId="0" applyFill="1" applyBorder="1" applyAlignment="1">
      <alignment horizontal="center" vertical="center"/>
    </xf>
    <xf numFmtId="1" fontId="1" fillId="24" borderId="0" xfId="0" applyNumberFormat="1" applyFont="1" applyFill="1" applyBorder="1" applyAlignment="1">
      <alignment horizontal="center" vertical="center"/>
    </xf>
    <xf numFmtId="0" fontId="20" fillId="2" borderId="0" xfId="0" applyFont="1" applyFill="1" applyBorder="1" applyAlignment="1">
      <alignment horizontal="left" vertical="center"/>
    </xf>
    <xf numFmtId="0" fontId="19" fillId="2" borderId="0" xfId="0" applyFont="1" applyFill="1" applyBorder="1" applyAlignment="1">
      <alignment horizontal="left" vertical="center"/>
    </xf>
    <xf numFmtId="1" fontId="1" fillId="2" borderId="0" xfId="0" applyNumberFormat="1" applyFont="1" applyFill="1" applyBorder="1" applyAlignment="1">
      <alignment horizontal="center" vertical="center"/>
    </xf>
    <xf numFmtId="0" fontId="19" fillId="2" borderId="0" xfId="0" applyFont="1" applyFill="1" applyBorder="1" applyAlignment="1">
      <alignment horizontal="center"/>
    </xf>
    <xf numFmtId="0" fontId="0" fillId="2" borderId="0" xfId="0" applyFill="1"/>
    <xf numFmtId="0" fontId="0" fillId="2" borderId="17" xfId="0" applyFill="1" applyBorder="1"/>
    <xf numFmtId="0" fontId="0" fillId="2" borderId="20" xfId="0" applyFill="1" applyBorder="1"/>
    <xf numFmtId="0" fontId="0" fillId="2" borderId="0" xfId="0" applyFill="1" applyBorder="1" applyAlignment="1">
      <alignment vertical="center"/>
    </xf>
    <xf numFmtId="0" fontId="0" fillId="20" borderId="0" xfId="0" applyFill="1" applyBorder="1" applyAlignment="1">
      <alignment horizontal="center" vertical="top" wrapText="1"/>
    </xf>
    <xf numFmtId="0" fontId="1" fillId="20" borderId="19" xfId="0" applyFont="1" applyFill="1" applyBorder="1" applyAlignment="1">
      <alignment horizontal="center" vertical="center"/>
    </xf>
    <xf numFmtId="1" fontId="0" fillId="23" borderId="19" xfId="0" applyNumberFormat="1" applyFill="1" applyBorder="1" applyAlignment="1">
      <alignment horizontal="center" vertical="center"/>
    </xf>
    <xf numFmtId="0" fontId="0" fillId="2" borderId="21" xfId="0" applyFill="1" applyBorder="1"/>
    <xf numFmtId="0" fontId="0" fillId="2" borderId="22" xfId="0" applyFill="1" applyBorder="1"/>
    <xf numFmtId="0" fontId="0" fillId="2" borderId="23" xfId="0" applyFill="1" applyBorder="1"/>
    <xf numFmtId="0" fontId="0" fillId="0" borderId="0" xfId="0" applyBorder="1"/>
    <xf numFmtId="0" fontId="0" fillId="21" borderId="26" xfId="0" applyFill="1" applyBorder="1" applyAlignment="1">
      <alignment horizontal="center" vertical="center"/>
    </xf>
    <xf numFmtId="0" fontId="0" fillId="0" borderId="18" xfId="0" applyBorder="1"/>
    <xf numFmtId="0" fontId="0" fillId="19" borderId="29" xfId="0" applyFill="1" applyBorder="1" applyAlignment="1">
      <alignment horizontal="center" vertical="center"/>
    </xf>
    <xf numFmtId="0" fontId="0" fillId="19" borderId="30" xfId="0" applyFill="1" applyBorder="1" applyAlignment="1">
      <alignment horizontal="center" vertical="center"/>
    </xf>
    <xf numFmtId="0" fontId="0" fillId="22" borderId="29" xfId="0" applyFill="1" applyBorder="1" applyAlignment="1">
      <alignment horizontal="center" vertical="center"/>
    </xf>
    <xf numFmtId="0" fontId="0" fillId="22" borderId="30" xfId="0" applyFill="1" applyBorder="1" applyAlignment="1">
      <alignment horizontal="center" vertical="center"/>
    </xf>
    <xf numFmtId="0" fontId="18" fillId="19" borderId="29" xfId="0" applyFont="1" applyFill="1" applyBorder="1" applyAlignment="1">
      <alignment horizontal="center" vertical="center"/>
    </xf>
    <xf numFmtId="0" fontId="18" fillId="19" borderId="30" xfId="0" applyFont="1" applyFill="1" applyBorder="1" applyAlignment="1">
      <alignment horizontal="center" vertical="center"/>
    </xf>
    <xf numFmtId="1" fontId="1" fillId="24" borderId="33" xfId="0" applyNumberFormat="1" applyFont="1" applyFill="1" applyBorder="1" applyAlignment="1">
      <alignment horizontal="center" vertical="center"/>
    </xf>
    <xf numFmtId="1" fontId="1" fillId="24" borderId="34" xfId="0" applyNumberFormat="1" applyFont="1" applyFill="1" applyBorder="1" applyAlignment="1">
      <alignment horizontal="center" vertical="center"/>
    </xf>
    <xf numFmtId="0" fontId="1" fillId="24" borderId="33" xfId="0" applyFont="1" applyFill="1" applyBorder="1" applyAlignment="1">
      <alignment horizontal="center" vertical="center"/>
    </xf>
    <xf numFmtId="0" fontId="14" fillId="6" borderId="1" xfId="0" applyFont="1" applyFill="1" applyBorder="1" applyAlignment="1">
      <alignment horizontal="center" vertical="center"/>
    </xf>
    <xf numFmtId="0" fontId="14" fillId="6" borderId="1" xfId="0" applyFont="1" applyFill="1" applyBorder="1" applyAlignment="1">
      <alignment horizontal="center" vertical="center"/>
    </xf>
    <xf numFmtId="0" fontId="21" fillId="2" borderId="21" xfId="0" applyFont="1" applyFill="1" applyBorder="1" applyAlignment="1">
      <alignment horizontal="center" vertical="center" wrapText="1"/>
    </xf>
    <xf numFmtId="0" fontId="21" fillId="2" borderId="22" xfId="0" applyFont="1" applyFill="1" applyBorder="1" applyAlignment="1">
      <alignment horizontal="center" vertical="center"/>
    </xf>
    <xf numFmtId="0" fontId="21" fillId="2" borderId="23" xfId="0" applyFont="1" applyFill="1" applyBorder="1" applyAlignment="1">
      <alignment horizontal="center" vertical="center"/>
    </xf>
    <xf numFmtId="0" fontId="21" fillId="2" borderId="0" xfId="0" applyFont="1" applyFill="1" applyBorder="1" applyAlignment="1">
      <alignment horizontal="center" vertical="center" wrapText="1"/>
    </xf>
    <xf numFmtId="0" fontId="21" fillId="2" borderId="0" xfId="0" applyFont="1" applyFill="1" applyBorder="1" applyAlignment="1">
      <alignment horizontal="center" vertical="center"/>
    </xf>
    <xf numFmtId="0" fontId="21" fillId="2" borderId="15" xfId="0" applyFont="1" applyFill="1" applyBorder="1" applyAlignment="1">
      <alignment horizontal="center" vertical="center" wrapText="1"/>
    </xf>
    <xf numFmtId="0" fontId="21" fillId="2" borderId="16" xfId="0" applyFont="1" applyFill="1" applyBorder="1" applyAlignment="1">
      <alignment horizontal="center" vertical="center"/>
    </xf>
    <xf numFmtId="0" fontId="21" fillId="2" borderId="17" xfId="0" applyFont="1" applyFill="1" applyBorder="1" applyAlignment="1">
      <alignment horizontal="center" vertical="center"/>
    </xf>
    <xf numFmtId="0" fontId="21" fillId="2" borderId="18" xfId="0" applyFont="1" applyFill="1" applyBorder="1" applyAlignment="1">
      <alignment horizontal="center" vertical="center" wrapText="1"/>
    </xf>
    <xf numFmtId="0" fontId="21" fillId="2" borderId="20" xfId="0" applyFont="1" applyFill="1" applyBorder="1" applyAlignment="1">
      <alignment horizontal="center" vertical="center"/>
    </xf>
    <xf numFmtId="0" fontId="14" fillId="2" borderId="7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4" fillId="2" borderId="3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14" fillId="6" borderId="2" xfId="0" applyFont="1" applyFill="1" applyBorder="1" applyAlignment="1">
      <alignment horizontal="center" vertical="center"/>
    </xf>
    <xf numFmtId="0" fontId="14" fillId="6" borderId="2" xfId="0" applyFont="1" applyFill="1" applyBorder="1" applyAlignment="1">
      <alignment horizontal="center" vertical="center"/>
    </xf>
    <xf numFmtId="0" fontId="14" fillId="8" borderId="1" xfId="0" applyFont="1" applyFill="1" applyBorder="1" applyAlignment="1">
      <alignment horizontal="center" vertical="center"/>
    </xf>
    <xf numFmtId="0" fontId="14" fillId="14" borderId="1" xfId="0" applyFont="1" applyFill="1" applyBorder="1" applyAlignment="1">
      <alignment horizontal="center" vertical="center"/>
    </xf>
    <xf numFmtId="0" fontId="12" fillId="6" borderId="3" xfId="0" applyFont="1" applyFill="1" applyBorder="1" applyAlignment="1">
      <alignment horizontal="center" vertical="center"/>
    </xf>
    <xf numFmtId="0" fontId="12" fillId="6" borderId="8" xfId="0" applyFont="1" applyFill="1" applyBorder="1" applyAlignment="1">
      <alignment horizontal="center" vertical="center"/>
    </xf>
    <xf numFmtId="0" fontId="12" fillId="6" borderId="7" xfId="0" applyFont="1" applyFill="1" applyBorder="1" applyAlignment="1">
      <alignment horizontal="center" vertical="center"/>
    </xf>
    <xf numFmtId="0" fontId="14" fillId="9" borderId="13" xfId="0" applyFont="1" applyFill="1" applyBorder="1" applyAlignment="1">
      <alignment horizontal="center" vertical="center"/>
    </xf>
    <xf numFmtId="0" fontId="14" fillId="9" borderId="14" xfId="0" applyFont="1" applyFill="1" applyBorder="1" applyAlignment="1">
      <alignment horizontal="center" vertical="center"/>
    </xf>
    <xf numFmtId="0" fontId="14" fillId="9" borderId="2" xfId="0" applyFont="1" applyFill="1" applyBorder="1" applyAlignment="1">
      <alignment horizontal="center" vertical="center"/>
    </xf>
    <xf numFmtId="0" fontId="14" fillId="7" borderId="13" xfId="0" applyFont="1" applyFill="1" applyBorder="1" applyAlignment="1">
      <alignment horizontal="center" vertical="center"/>
    </xf>
    <xf numFmtId="0" fontId="14" fillId="7" borderId="14" xfId="0" applyFont="1" applyFill="1" applyBorder="1" applyAlignment="1">
      <alignment horizontal="center" vertical="center"/>
    </xf>
    <xf numFmtId="0" fontId="14" fillId="7" borderId="2" xfId="0" applyFont="1" applyFill="1" applyBorder="1" applyAlignment="1">
      <alignment horizontal="center" vertical="center"/>
    </xf>
    <xf numFmtId="0" fontId="14" fillId="2" borderId="3" xfId="0" applyFont="1" applyFill="1" applyBorder="1" applyAlignment="1">
      <alignment horizontal="center" vertical="center"/>
    </xf>
    <xf numFmtId="0" fontId="14" fillId="2" borderId="7" xfId="0" applyFont="1" applyFill="1" applyBorder="1" applyAlignment="1">
      <alignment horizontal="center" vertical="center"/>
    </xf>
    <xf numFmtId="0" fontId="14" fillId="6" borderId="13" xfId="0" applyFont="1" applyFill="1" applyBorder="1" applyAlignment="1">
      <alignment horizontal="center" vertical="center"/>
    </xf>
    <xf numFmtId="0" fontId="14" fillId="6" borderId="14" xfId="0" applyFont="1" applyFill="1" applyBorder="1" applyAlignment="1">
      <alignment horizontal="center" vertical="center"/>
    </xf>
    <xf numFmtId="0" fontId="14" fillId="6" borderId="2" xfId="0" applyFont="1" applyFill="1" applyBorder="1" applyAlignment="1">
      <alignment horizontal="center" vertical="center"/>
    </xf>
    <xf numFmtId="0" fontId="14" fillId="10" borderId="13" xfId="0" applyFont="1" applyFill="1" applyBorder="1" applyAlignment="1">
      <alignment horizontal="center" vertical="center"/>
    </xf>
    <xf numFmtId="0" fontId="14" fillId="10" borderId="14" xfId="0" applyFont="1" applyFill="1" applyBorder="1" applyAlignment="1">
      <alignment horizontal="center" vertical="center"/>
    </xf>
    <xf numFmtId="0" fontId="14" fillId="10" borderId="2" xfId="0" applyFont="1" applyFill="1" applyBorder="1" applyAlignment="1">
      <alignment horizontal="center" vertical="center"/>
    </xf>
    <xf numFmtId="0" fontId="0" fillId="5" borderId="0" xfId="0" applyFill="1" applyBorder="1" applyAlignment="1">
      <alignment horizontal="center"/>
    </xf>
    <xf numFmtId="0" fontId="6" fillId="16" borderId="0" xfId="2" applyFont="1" applyFill="1" applyBorder="1" applyAlignment="1">
      <alignment horizontal="center" vertical="center"/>
    </xf>
    <xf numFmtId="0" fontId="14" fillId="8" borderId="1" xfId="0" applyFont="1" applyFill="1" applyBorder="1" applyAlignment="1">
      <alignment horizontal="center" vertical="center"/>
    </xf>
    <xf numFmtId="0" fontId="14" fillId="2" borderId="4" xfId="0" applyNumberFormat="1" applyFont="1" applyFill="1" applyBorder="1" applyAlignment="1">
      <alignment horizontal="center" vertical="center"/>
    </xf>
    <xf numFmtId="0" fontId="14" fillId="2" borderId="9" xfId="0" applyNumberFormat="1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14" fillId="14" borderId="13" xfId="0" applyFont="1" applyFill="1" applyBorder="1" applyAlignment="1">
      <alignment horizontal="center" vertical="center"/>
    </xf>
    <xf numFmtId="0" fontId="14" fillId="14" borderId="14" xfId="0" applyFont="1" applyFill="1" applyBorder="1" applyAlignment="1">
      <alignment horizontal="center" vertical="center"/>
    </xf>
    <xf numFmtId="0" fontId="14" fillId="14" borderId="2" xfId="0" applyFont="1" applyFill="1" applyBorder="1" applyAlignment="1">
      <alignment horizontal="center" vertical="center"/>
    </xf>
    <xf numFmtId="0" fontId="14" fillId="13" borderId="13" xfId="0" applyFont="1" applyFill="1" applyBorder="1" applyAlignment="1">
      <alignment horizontal="center" vertical="center"/>
    </xf>
    <xf numFmtId="0" fontId="14" fillId="13" borderId="14" xfId="0" applyFont="1" applyFill="1" applyBorder="1" applyAlignment="1">
      <alignment horizontal="center" vertical="center"/>
    </xf>
    <xf numFmtId="0" fontId="14" fillId="13" borderId="2" xfId="0" applyFont="1" applyFill="1" applyBorder="1" applyAlignment="1">
      <alignment horizontal="center" vertical="center"/>
    </xf>
    <xf numFmtId="0" fontId="14" fillId="12" borderId="13" xfId="0" applyFont="1" applyFill="1" applyBorder="1" applyAlignment="1">
      <alignment horizontal="center" vertical="center"/>
    </xf>
    <xf numFmtId="0" fontId="14" fillId="12" borderId="14" xfId="0" applyFont="1" applyFill="1" applyBorder="1" applyAlignment="1">
      <alignment horizontal="center" vertical="center"/>
    </xf>
    <xf numFmtId="0" fontId="14" fillId="12" borderId="2" xfId="0" applyFont="1" applyFill="1" applyBorder="1" applyAlignment="1">
      <alignment horizontal="center" vertical="center"/>
    </xf>
    <xf numFmtId="0" fontId="14" fillId="11" borderId="13" xfId="0" applyFont="1" applyFill="1" applyBorder="1" applyAlignment="1">
      <alignment horizontal="center" vertical="center"/>
    </xf>
    <xf numFmtId="0" fontId="14" fillId="11" borderId="14" xfId="0" applyFont="1" applyFill="1" applyBorder="1" applyAlignment="1">
      <alignment horizontal="center" vertical="center"/>
    </xf>
    <xf numFmtId="0" fontId="14" fillId="11" borderId="2" xfId="0" applyFont="1" applyFill="1" applyBorder="1" applyAlignment="1">
      <alignment horizontal="center" vertical="center"/>
    </xf>
    <xf numFmtId="0" fontId="6" fillId="5" borderId="0" xfId="0" applyFont="1" applyFill="1" applyAlignment="1">
      <alignment horizontal="center" vertical="center"/>
    </xf>
    <xf numFmtId="0" fontId="6" fillId="15" borderId="0" xfId="1" applyFont="1" applyFill="1" applyBorder="1" applyAlignment="1">
      <alignment horizontal="center" vertical="center" wrapText="1"/>
    </xf>
    <xf numFmtId="0" fontId="6" fillId="5" borderId="0" xfId="0" applyFont="1" applyFill="1" applyBorder="1" applyAlignment="1">
      <alignment horizontal="center" vertical="center"/>
    </xf>
    <xf numFmtId="0" fontId="14" fillId="14" borderId="1" xfId="0" applyFont="1" applyFill="1" applyBorder="1" applyAlignment="1">
      <alignment horizontal="center" vertical="center"/>
    </xf>
    <xf numFmtId="0" fontId="10" fillId="12" borderId="1" xfId="0" applyFont="1" applyFill="1" applyBorder="1" applyAlignment="1">
      <alignment horizontal="center" vertical="center"/>
    </xf>
    <xf numFmtId="0" fontId="11" fillId="10" borderId="1" xfId="0" applyFont="1" applyFill="1" applyBorder="1" applyAlignment="1">
      <alignment horizontal="center" vertical="center"/>
    </xf>
    <xf numFmtId="0" fontId="17" fillId="5" borderId="0" xfId="0" applyFont="1" applyFill="1" applyAlignment="1">
      <alignment horizontal="center" vertical="center"/>
    </xf>
    <xf numFmtId="0" fontId="1" fillId="18" borderId="24" xfId="0" applyFont="1" applyFill="1" applyBorder="1" applyAlignment="1">
      <alignment horizontal="center" vertical="center"/>
    </xf>
    <xf numFmtId="164" fontId="0" fillId="2" borderId="25" xfId="3" applyNumberFormat="1" applyFont="1" applyFill="1" applyBorder="1" applyAlignment="1">
      <alignment horizontal="center" vertical="center"/>
    </xf>
    <xf numFmtId="164" fontId="0" fillId="2" borderId="18" xfId="0" applyNumberFormat="1" applyFill="1" applyBorder="1" applyAlignment="1">
      <alignment horizontal="center" vertical="center"/>
    </xf>
    <xf numFmtId="0" fontId="0" fillId="21" borderId="27" xfId="0" applyFill="1" applyBorder="1" applyAlignment="1">
      <alignment horizontal="center" vertical="center"/>
    </xf>
    <xf numFmtId="0" fontId="0" fillId="21" borderId="24" xfId="0" applyFill="1" applyBorder="1" applyAlignment="1">
      <alignment horizontal="center" vertical="center"/>
    </xf>
    <xf numFmtId="0" fontId="25" fillId="2" borderId="28" xfId="0" applyFont="1" applyFill="1" applyBorder="1" applyAlignment="1">
      <alignment horizontal="right" vertical="center" wrapText="1"/>
    </xf>
    <xf numFmtId="0" fontId="0" fillId="2" borderId="28" xfId="0" applyFill="1" applyBorder="1" applyAlignment="1">
      <alignment horizontal="right" vertical="center"/>
    </xf>
    <xf numFmtId="0" fontId="21" fillId="2" borderId="21" xfId="0" applyFont="1" applyFill="1" applyBorder="1" applyAlignment="1">
      <alignment horizontal="center" vertical="center" wrapText="1"/>
    </xf>
    <xf numFmtId="0" fontId="21" fillId="2" borderId="22" xfId="0" applyFont="1" applyFill="1" applyBorder="1" applyAlignment="1">
      <alignment horizontal="center" vertical="center"/>
    </xf>
    <xf numFmtId="0" fontId="21" fillId="2" borderId="23" xfId="0" applyFont="1" applyFill="1" applyBorder="1" applyAlignment="1">
      <alignment horizontal="center" vertical="center"/>
    </xf>
    <xf numFmtId="0" fontId="1" fillId="18" borderId="19" xfId="0" applyFont="1" applyFill="1" applyBorder="1" applyAlignment="1">
      <alignment horizontal="center" vertical="center"/>
    </xf>
    <xf numFmtId="0" fontId="19" fillId="2" borderId="0" xfId="0" applyFont="1" applyFill="1" applyBorder="1" applyAlignment="1">
      <alignment horizontal="center" vertical="center"/>
    </xf>
    <xf numFmtId="0" fontId="0" fillId="21" borderId="35" xfId="0" applyFill="1" applyBorder="1" applyAlignment="1">
      <alignment horizontal="center" vertical="center"/>
    </xf>
    <xf numFmtId="164" fontId="21" fillId="2" borderId="25" xfId="0" applyNumberFormat="1" applyFont="1" applyFill="1" applyBorder="1" applyAlignment="1">
      <alignment horizontal="center" vertical="center" wrapText="1"/>
    </xf>
    <xf numFmtId="0" fontId="19" fillId="2" borderId="0" xfId="0" applyFont="1" applyFill="1" applyBorder="1" applyAlignment="1">
      <alignment horizontal="left" vertical="center"/>
    </xf>
    <xf numFmtId="0" fontId="19" fillId="2" borderId="0" xfId="0" applyFont="1" applyFill="1" applyBorder="1" applyAlignment="1">
      <alignment horizontal="center"/>
    </xf>
    <xf numFmtId="0" fontId="25" fillId="2" borderId="0" xfId="0" applyFont="1" applyFill="1" applyAlignment="1">
      <alignment horizontal="left" vertical="center"/>
    </xf>
    <xf numFmtId="0" fontId="0" fillId="19" borderId="31" xfId="0" applyFill="1" applyBorder="1" applyAlignment="1">
      <alignment horizontal="center" vertical="center"/>
    </xf>
    <xf numFmtId="0" fontId="0" fillId="19" borderId="32" xfId="0" applyFill="1" applyBorder="1" applyAlignment="1">
      <alignment horizontal="center" vertical="center"/>
    </xf>
    <xf numFmtId="0" fontId="0" fillId="22" borderId="18" xfId="0" applyFill="1" applyBorder="1" applyAlignment="1">
      <alignment horizontal="center" vertical="center"/>
    </xf>
    <xf numFmtId="0" fontId="0" fillId="22" borderId="20" xfId="0" applyFill="1" applyBorder="1" applyAlignment="1">
      <alignment horizontal="center" vertical="center"/>
    </xf>
    <xf numFmtId="0" fontId="26" fillId="18" borderId="15" xfId="0" applyFont="1" applyFill="1" applyBorder="1" applyAlignment="1">
      <alignment horizontal="center" vertical="center"/>
    </xf>
    <xf numFmtId="0" fontId="26" fillId="18" borderId="17" xfId="0" applyFont="1" applyFill="1" applyBorder="1" applyAlignment="1">
      <alignment horizontal="center" vertical="center"/>
    </xf>
    <xf numFmtId="0" fontId="26" fillId="18" borderId="15" xfId="0" applyFont="1" applyFill="1" applyBorder="1" applyAlignment="1">
      <alignment horizontal="center" vertical="center" wrapText="1"/>
    </xf>
    <xf numFmtId="0" fontId="26" fillId="18" borderId="17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</cellXfs>
  <cellStyles count="4">
    <cellStyle name="Денежный" xfId="3" builtinId="4"/>
    <cellStyle name="Нейтральный" xfId="2" builtinId="28"/>
    <cellStyle name="Обычный" xfId="0" builtinId="0"/>
    <cellStyle name="Хороший" xfId="1" builtinId="26"/>
  </cellStyles>
  <dxfs count="21">
    <dxf>
      <font>
        <color theme="1" tint="0.499984740745262"/>
      </font>
      <fill>
        <patternFill>
          <bgColor rgb="FFFFAAAF"/>
        </patternFill>
      </fill>
    </dxf>
    <dxf>
      <font>
        <color theme="1" tint="0.499984740745262"/>
      </font>
      <fill>
        <patternFill>
          <bgColor rgb="FFFFAAAF"/>
        </patternFill>
      </fill>
    </dxf>
    <dxf>
      <font>
        <color theme="1" tint="0.14996795556505021"/>
      </font>
      <fill>
        <patternFill>
          <bgColor rgb="FFFFAAAF"/>
        </patternFill>
      </fill>
    </dxf>
    <dxf>
      <font>
        <color theme="1" tint="0.14996795556505021"/>
      </font>
      <fill>
        <patternFill>
          <bgColor rgb="FFFFD2D7"/>
        </patternFill>
      </fill>
    </dxf>
    <dxf>
      <font>
        <color theme="1" tint="0.14996795556505021"/>
      </font>
      <fill>
        <patternFill>
          <bgColor rgb="FFFFAAAF"/>
        </patternFill>
      </fill>
    </dxf>
    <dxf>
      <font>
        <color theme="1" tint="0.499984740745262"/>
      </font>
      <fill>
        <patternFill>
          <bgColor rgb="FFFFAAAF"/>
        </patternFill>
      </fill>
    </dxf>
    <dxf>
      <font>
        <color theme="1" tint="0.14996795556505021"/>
      </font>
      <fill>
        <patternFill>
          <bgColor rgb="FFFFD2D7"/>
        </patternFill>
      </fill>
    </dxf>
    <dxf>
      <font>
        <color theme="1" tint="0.14996795556505021"/>
      </font>
      <fill>
        <patternFill>
          <bgColor rgb="FFFFAAAF"/>
        </patternFill>
      </fill>
    </dxf>
    <dxf>
      <font>
        <color theme="1" tint="0.14996795556505021"/>
      </font>
      <fill>
        <patternFill>
          <bgColor rgb="FFFFD2D7"/>
        </patternFill>
      </fill>
    </dxf>
    <dxf>
      <font>
        <color theme="1" tint="0.14996795556505021"/>
      </font>
      <fill>
        <patternFill>
          <bgColor rgb="FFFFAAAF"/>
        </patternFill>
      </fill>
    </dxf>
    <dxf>
      <font>
        <color theme="1" tint="0.14996795556505021"/>
      </font>
      <fill>
        <patternFill>
          <bgColor rgb="FFFFD2D7"/>
        </patternFill>
      </fill>
    </dxf>
    <dxf>
      <font>
        <color theme="1" tint="0.499984740745262"/>
      </font>
      <fill>
        <patternFill>
          <bgColor rgb="FFFFAAAF"/>
        </patternFill>
      </fill>
    </dxf>
    <dxf>
      <font>
        <color theme="1" tint="0.499984740745262"/>
      </font>
      <fill>
        <patternFill>
          <bgColor rgb="FFFFAAAF"/>
        </patternFill>
      </fill>
    </dxf>
    <dxf>
      <font>
        <color theme="1" tint="0.499984740745262"/>
      </font>
      <fill>
        <patternFill>
          <bgColor rgb="FFFFAAAF"/>
        </patternFill>
      </fill>
    </dxf>
    <dxf>
      <font>
        <color theme="1" tint="0.14996795556505021"/>
      </font>
      <fill>
        <patternFill>
          <bgColor rgb="FFFFAAAF"/>
        </patternFill>
      </fill>
    </dxf>
    <dxf>
      <font>
        <color theme="1" tint="0.14996795556505021"/>
      </font>
      <fill>
        <patternFill>
          <bgColor rgb="FFFFD2D7"/>
        </patternFill>
      </fill>
    </dxf>
    <dxf>
      <font>
        <color theme="1" tint="0.14996795556505021"/>
      </font>
      <fill>
        <patternFill>
          <bgColor rgb="FFFFAAAF"/>
        </patternFill>
      </fill>
    </dxf>
    <dxf>
      <font>
        <color theme="1" tint="0.14996795556505021"/>
      </font>
      <fill>
        <patternFill>
          <bgColor rgb="FFFFD2D7"/>
        </patternFill>
      </fill>
    </dxf>
    <dxf>
      <font>
        <color theme="1" tint="0.499984740745262"/>
      </font>
      <fill>
        <patternFill>
          <bgColor rgb="FFFFAAAF"/>
        </patternFill>
      </fill>
    </dxf>
    <dxf>
      <font>
        <color theme="1" tint="0.499984740745262"/>
      </font>
      <fill>
        <patternFill>
          <bgColor rgb="FFFFAAAF"/>
        </patternFill>
      </fill>
    </dxf>
    <dxf>
      <font>
        <color theme="1" tint="0.499984740745262"/>
      </font>
      <fill>
        <patternFill>
          <bgColor rgb="FFFFAAAF"/>
        </patternFill>
      </fill>
    </dxf>
  </dxfs>
  <tableStyles count="1" defaultTableStyle="Стиль таблицы 1" defaultPivotStyle="PivotStyleLight16">
    <tableStyle name="Стиль таблицы 1" pivot="0" count="0"/>
  </tableStyles>
  <colors>
    <mruColors>
      <color rgb="FFFFAAAF"/>
      <color rgb="FFB9D9A3"/>
      <color rgb="FFF4F9F1"/>
      <color rgb="FFEDF1F9"/>
      <color rgb="FFFDD1C3"/>
      <color rgb="FFC6E0B6"/>
      <color rgb="FFFEE6DE"/>
      <color rgb="FFFF828C"/>
      <color rgb="FFFFAAD7"/>
      <color rgb="FFFF8C9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</xdr:row>
      <xdr:rowOff>0</xdr:rowOff>
    </xdr:from>
    <xdr:to>
      <xdr:col>6</xdr:col>
      <xdr:colOff>0</xdr:colOff>
      <xdr:row>7</xdr:row>
      <xdr:rowOff>0</xdr:rowOff>
    </xdr:to>
    <xdr:cxnSp macro="">
      <xdr:nvCxnSpPr>
        <xdr:cNvPr id="4" name="Прямая соединительная линия 3"/>
        <xdr:cNvCxnSpPr/>
      </xdr:nvCxnSpPr>
      <xdr:spPr>
        <a:xfrm>
          <a:off x="266700" y="1973580"/>
          <a:ext cx="2994660" cy="0"/>
        </a:xfrm>
        <a:prstGeom prst="line">
          <a:avLst/>
        </a:prstGeom>
        <a:effectLst>
          <a:outerShdw blurRad="127000" dist="38100" dir="16200000" rotWithShape="0">
            <a:prstClr val="black"/>
          </a:outerShdw>
        </a:effectLst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0</xdr:colOff>
      <xdr:row>26</xdr:row>
      <xdr:rowOff>0</xdr:rowOff>
    </xdr:to>
    <xdr:cxnSp macro="">
      <xdr:nvCxnSpPr>
        <xdr:cNvPr id="8" name="Прямая соединительная линия 7"/>
        <xdr:cNvCxnSpPr/>
      </xdr:nvCxnSpPr>
      <xdr:spPr>
        <a:xfrm>
          <a:off x="266700" y="1973580"/>
          <a:ext cx="0" cy="7239000"/>
        </a:xfrm>
        <a:prstGeom prst="line">
          <a:avLst/>
        </a:prstGeom>
        <a:effectLst>
          <a:outerShdw blurRad="127000" dist="38100" dir="10800000" algn="r" rotWithShape="0">
            <a:prstClr val="black"/>
          </a:outerShdw>
        </a:effectLst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13607</xdr:colOff>
      <xdr:row>26</xdr:row>
      <xdr:rowOff>0</xdr:rowOff>
    </xdr:from>
    <xdr:to>
      <xdr:col>5</xdr:col>
      <xdr:colOff>545693</xdr:colOff>
      <xdr:row>26</xdr:row>
      <xdr:rowOff>0</xdr:rowOff>
    </xdr:to>
    <xdr:cxnSp macro="">
      <xdr:nvCxnSpPr>
        <xdr:cNvPr id="10" name="Прямая соединительная линия 9"/>
        <xdr:cNvCxnSpPr/>
      </xdr:nvCxnSpPr>
      <xdr:spPr>
        <a:xfrm>
          <a:off x="394607" y="8763000"/>
          <a:ext cx="3226300" cy="0"/>
        </a:xfrm>
        <a:prstGeom prst="line">
          <a:avLst/>
        </a:prstGeom>
        <a:effectLst>
          <a:outerShdw blurRad="127000" dist="38100" dir="5400000" algn="t" rotWithShape="0">
            <a:prstClr val="black"/>
          </a:outerShdw>
        </a:effectLst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30</xdr:col>
      <xdr:colOff>0</xdr:colOff>
      <xdr:row>7</xdr:row>
      <xdr:rowOff>0</xdr:rowOff>
    </xdr:from>
    <xdr:to>
      <xdr:col>30</xdr:col>
      <xdr:colOff>0</xdr:colOff>
      <xdr:row>26</xdr:row>
      <xdr:rowOff>0</xdr:rowOff>
    </xdr:to>
    <xdr:cxnSp macro="">
      <xdr:nvCxnSpPr>
        <xdr:cNvPr id="12" name="Прямая соединительная линия 11"/>
        <xdr:cNvCxnSpPr/>
      </xdr:nvCxnSpPr>
      <xdr:spPr>
        <a:xfrm flipV="1">
          <a:off x="11934825" y="1962150"/>
          <a:ext cx="0" cy="7239000"/>
        </a:xfrm>
        <a:prstGeom prst="line">
          <a:avLst/>
        </a:prstGeom>
        <a:effectLst>
          <a:outerShdw blurRad="127000" dist="38100" algn="l" rotWithShape="0">
            <a:prstClr val="black"/>
          </a:outerShdw>
        </a:effectLst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17213</xdr:colOff>
      <xdr:row>26</xdr:row>
      <xdr:rowOff>2723</xdr:rowOff>
    </xdr:from>
    <xdr:to>
      <xdr:col>29</xdr:col>
      <xdr:colOff>1046361</xdr:colOff>
      <xdr:row>26</xdr:row>
      <xdr:rowOff>2723</xdr:rowOff>
    </xdr:to>
    <xdr:cxnSp macro="">
      <xdr:nvCxnSpPr>
        <xdr:cNvPr id="11" name="Прямая соединительная линия 10"/>
        <xdr:cNvCxnSpPr/>
      </xdr:nvCxnSpPr>
      <xdr:spPr>
        <a:xfrm>
          <a:off x="9943870" y="8712934"/>
          <a:ext cx="3129238" cy="0"/>
        </a:xfrm>
        <a:prstGeom prst="line">
          <a:avLst/>
        </a:prstGeom>
        <a:effectLst>
          <a:outerShdw blurRad="127000" dist="38100" dir="5400000" algn="t" rotWithShape="0">
            <a:prstClr val="black"/>
          </a:outerShdw>
        </a:effectLst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27609</xdr:colOff>
      <xdr:row>7</xdr:row>
      <xdr:rowOff>556</xdr:rowOff>
    </xdr:from>
    <xdr:to>
      <xdr:col>29</xdr:col>
      <xdr:colOff>1048945</xdr:colOff>
      <xdr:row>7</xdr:row>
      <xdr:rowOff>556</xdr:rowOff>
    </xdr:to>
    <xdr:cxnSp macro="">
      <xdr:nvCxnSpPr>
        <xdr:cNvPr id="13" name="Прямая соединительная линия 12"/>
        <xdr:cNvCxnSpPr/>
      </xdr:nvCxnSpPr>
      <xdr:spPr>
        <a:xfrm>
          <a:off x="9952935" y="2319686"/>
          <a:ext cx="3119597" cy="0"/>
        </a:xfrm>
        <a:prstGeom prst="line">
          <a:avLst/>
        </a:prstGeom>
        <a:effectLst>
          <a:outerShdw blurRad="127000" dist="38100" dir="16200000" rotWithShape="0">
            <a:prstClr val="black"/>
          </a:outerShdw>
        </a:effectLst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24</xdr:col>
      <xdr:colOff>4819</xdr:colOff>
      <xdr:row>26</xdr:row>
      <xdr:rowOff>2386</xdr:rowOff>
    </xdr:from>
    <xdr:to>
      <xdr:col>25</xdr:col>
      <xdr:colOff>1035327</xdr:colOff>
      <xdr:row>26</xdr:row>
      <xdr:rowOff>2386</xdr:rowOff>
    </xdr:to>
    <xdr:cxnSp macro="">
      <xdr:nvCxnSpPr>
        <xdr:cNvPr id="20" name="Прямая соединительная линия 19"/>
        <xdr:cNvCxnSpPr/>
      </xdr:nvCxnSpPr>
      <xdr:spPr>
        <a:xfrm>
          <a:off x="6782754" y="8892386"/>
          <a:ext cx="2079638" cy="0"/>
        </a:xfrm>
        <a:prstGeom prst="line">
          <a:avLst/>
        </a:prstGeom>
        <a:effectLst>
          <a:outerShdw blurRad="127000" dist="38100" dir="5400000" algn="t" rotWithShape="0">
            <a:prstClr val="black"/>
          </a:outerShdw>
        </a:effectLst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26</xdr:colOff>
      <xdr:row>7</xdr:row>
      <xdr:rowOff>1668</xdr:rowOff>
    </xdr:from>
    <xdr:to>
      <xdr:col>7</xdr:col>
      <xdr:colOff>1035326</xdr:colOff>
      <xdr:row>7</xdr:row>
      <xdr:rowOff>1668</xdr:rowOff>
    </xdr:to>
    <xdr:cxnSp macro="">
      <xdr:nvCxnSpPr>
        <xdr:cNvPr id="22" name="Прямая соединительная линия 21"/>
        <xdr:cNvCxnSpPr/>
      </xdr:nvCxnSpPr>
      <xdr:spPr>
        <a:xfrm>
          <a:off x="4679700" y="2320798"/>
          <a:ext cx="1035300" cy="0"/>
        </a:xfrm>
        <a:prstGeom prst="line">
          <a:avLst/>
        </a:prstGeom>
        <a:effectLst>
          <a:outerShdw blurRad="127000" dist="38100" dir="16200000" rotWithShape="0">
            <a:prstClr val="black"/>
          </a:outerShdw>
        </a:effectLst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13830</xdr:colOff>
      <xdr:row>26</xdr:row>
      <xdr:rowOff>2942</xdr:rowOff>
    </xdr:from>
    <xdr:to>
      <xdr:col>7</xdr:col>
      <xdr:colOff>1035326</xdr:colOff>
      <xdr:row>26</xdr:row>
      <xdr:rowOff>2942</xdr:rowOff>
    </xdr:to>
    <xdr:cxnSp macro="">
      <xdr:nvCxnSpPr>
        <xdr:cNvPr id="24" name="Прямая соединительная линия 23"/>
        <xdr:cNvCxnSpPr/>
      </xdr:nvCxnSpPr>
      <xdr:spPr>
        <a:xfrm>
          <a:off x="4693504" y="8892942"/>
          <a:ext cx="1021496" cy="0"/>
        </a:xfrm>
        <a:prstGeom prst="line">
          <a:avLst/>
        </a:prstGeom>
        <a:effectLst>
          <a:outerShdw blurRad="127000" dist="38100" dir="5400000" algn="t" rotWithShape="0">
            <a:prstClr val="black"/>
          </a:outerShdw>
        </a:effectLst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24</xdr:col>
      <xdr:colOff>0</xdr:colOff>
      <xdr:row>7</xdr:row>
      <xdr:rowOff>0</xdr:rowOff>
    </xdr:from>
    <xdr:to>
      <xdr:col>25</xdr:col>
      <xdr:colOff>1034691</xdr:colOff>
      <xdr:row>7</xdr:row>
      <xdr:rowOff>0</xdr:rowOff>
    </xdr:to>
    <xdr:cxnSp macro="">
      <xdr:nvCxnSpPr>
        <xdr:cNvPr id="14" name="Прямая соединительная линия 13"/>
        <xdr:cNvCxnSpPr/>
      </xdr:nvCxnSpPr>
      <xdr:spPr>
        <a:xfrm>
          <a:off x="5648325" y="1962150"/>
          <a:ext cx="2082441" cy="0"/>
        </a:xfrm>
        <a:prstGeom prst="line">
          <a:avLst/>
        </a:prstGeom>
        <a:effectLst>
          <a:outerShdw blurRad="127000" dist="38100" dir="16200000" rotWithShape="0">
            <a:prstClr val="black"/>
          </a:outerShdw>
        </a:effectLst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24</xdr:col>
      <xdr:colOff>0</xdr:colOff>
      <xdr:row>37</xdr:row>
      <xdr:rowOff>0</xdr:rowOff>
    </xdr:from>
    <xdr:to>
      <xdr:col>25</xdr:col>
      <xdr:colOff>1030508</xdr:colOff>
      <xdr:row>37</xdr:row>
      <xdr:rowOff>0</xdr:rowOff>
    </xdr:to>
    <xdr:cxnSp macro="">
      <xdr:nvCxnSpPr>
        <xdr:cNvPr id="16" name="Прямая соединительная линия 15"/>
        <xdr:cNvCxnSpPr/>
      </xdr:nvCxnSpPr>
      <xdr:spPr>
        <a:xfrm>
          <a:off x="5648325" y="13011150"/>
          <a:ext cx="2078258" cy="0"/>
        </a:xfrm>
        <a:prstGeom prst="line">
          <a:avLst/>
        </a:prstGeom>
        <a:effectLst>
          <a:outerShdw blurRad="127000" dist="38100" dir="5400000" algn="t" rotWithShape="0">
            <a:prstClr val="black"/>
          </a:outerShdw>
        </a:effectLst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37</xdr:row>
      <xdr:rowOff>0</xdr:rowOff>
    </xdr:from>
    <xdr:to>
      <xdr:col>8</xdr:col>
      <xdr:colOff>0</xdr:colOff>
      <xdr:row>37</xdr:row>
      <xdr:rowOff>0</xdr:rowOff>
    </xdr:to>
    <xdr:cxnSp macro="">
      <xdr:nvCxnSpPr>
        <xdr:cNvPr id="17" name="Прямая соединительная линия 16"/>
        <xdr:cNvCxnSpPr/>
      </xdr:nvCxnSpPr>
      <xdr:spPr>
        <a:xfrm>
          <a:off x="266700" y="13403580"/>
          <a:ext cx="4800600" cy="0"/>
        </a:xfrm>
        <a:prstGeom prst="line">
          <a:avLst/>
        </a:prstGeom>
        <a:effectLst>
          <a:outerShdw blurRad="127000" dist="38100" dir="5400000" algn="t" rotWithShape="0">
            <a:prstClr val="black"/>
          </a:outerShdw>
        </a:effectLst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0</xdr:colOff>
      <xdr:row>37</xdr:row>
      <xdr:rowOff>0</xdr:rowOff>
    </xdr:from>
    <xdr:to>
      <xdr:col>27</xdr:col>
      <xdr:colOff>1021496</xdr:colOff>
      <xdr:row>37</xdr:row>
      <xdr:rowOff>0</xdr:rowOff>
    </xdr:to>
    <xdr:cxnSp macro="">
      <xdr:nvCxnSpPr>
        <xdr:cNvPr id="18" name="Прямая соединительная линия 17"/>
        <xdr:cNvCxnSpPr/>
      </xdr:nvCxnSpPr>
      <xdr:spPr>
        <a:xfrm>
          <a:off x="8791575" y="13011150"/>
          <a:ext cx="1021496" cy="0"/>
        </a:xfrm>
        <a:prstGeom prst="line">
          <a:avLst/>
        </a:prstGeom>
        <a:effectLst>
          <a:outerShdw blurRad="127000" dist="38100" dir="5400000" algn="t" rotWithShape="0">
            <a:prstClr val="black"/>
          </a:outerShdw>
        </a:effectLst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</xdr:colOff>
      <xdr:row>5</xdr:row>
      <xdr:rowOff>15240</xdr:rowOff>
    </xdr:from>
    <xdr:to>
      <xdr:col>7</xdr:col>
      <xdr:colOff>144780</xdr:colOff>
      <xdr:row>6</xdr:row>
      <xdr:rowOff>723900</xdr:rowOff>
    </xdr:to>
    <xdr:sp macro="" textlink="">
      <xdr:nvSpPr>
        <xdr:cNvPr id="4" name="Правая фигурная скобка 3"/>
        <xdr:cNvSpPr/>
      </xdr:nvSpPr>
      <xdr:spPr>
        <a:xfrm>
          <a:off x="5326380" y="2331720"/>
          <a:ext cx="137160" cy="1455420"/>
        </a:xfrm>
        <a:prstGeom prst="rightBrace">
          <a:avLst/>
        </a:prstGeom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outlinePr summaryRight="0"/>
  </sheetPr>
  <dimension ref="B1:CC88"/>
  <sheetViews>
    <sheetView tabSelected="1" zoomScaleNormal="100" workbookViewId="0">
      <selection activeCell="E4" sqref="E4:F4"/>
    </sheetView>
  </sheetViews>
  <sheetFormatPr defaultColWidth="9.140625" defaultRowHeight="30" customHeight="1" outlineLevelCol="1" x14ac:dyDescent="0.25"/>
  <cols>
    <col min="1" max="1" width="3.85546875" style="1" customWidth="1"/>
    <col min="2" max="2" width="2.7109375" style="1" customWidth="1"/>
    <col min="3" max="3" width="13.7109375" style="1" customWidth="1"/>
    <col min="4" max="4" width="10.7109375" style="1" customWidth="1"/>
    <col min="5" max="6" width="8.28515625" style="1" customWidth="1"/>
    <col min="7" max="7" width="10.7109375" style="1" customWidth="1"/>
    <col min="8" max="8" width="15.7109375" style="1" customWidth="1" collapsed="1"/>
    <col min="9" max="23" width="15.7109375" style="1" hidden="1" customWidth="1" outlineLevel="1"/>
    <col min="24" max="24" width="10.7109375" style="1" customWidth="1"/>
    <col min="25" max="36" width="15.7109375" style="1" customWidth="1"/>
    <col min="37" max="37" width="10.7109375" style="1" customWidth="1"/>
    <col min="38" max="42" width="15.7109375" style="1" customWidth="1"/>
    <col min="43" max="45" width="1.7109375" style="4" customWidth="1"/>
    <col min="46" max="46" width="17.5703125" style="4" customWidth="1"/>
    <col min="47" max="48" width="12.7109375" style="4" customWidth="1"/>
    <col min="49" max="49" width="9.42578125" style="4" customWidth="1"/>
    <col min="50" max="50" width="9.85546875" style="4" customWidth="1"/>
    <col min="51" max="51" width="7.28515625" style="4" customWidth="1"/>
    <col min="52" max="52" width="10.5703125" style="4" customWidth="1"/>
    <col min="53" max="53" width="9.85546875" style="4" customWidth="1"/>
    <col min="54" max="54" width="11.28515625" style="4" customWidth="1"/>
    <col min="55" max="55" width="10.140625" style="4" customWidth="1"/>
    <col min="56" max="56" width="12.7109375" style="4" customWidth="1"/>
    <col min="57" max="57" width="8.85546875" style="4" customWidth="1"/>
    <col min="58" max="58" width="18.7109375" style="4" customWidth="1"/>
    <col min="59" max="59" width="12.28515625" style="4" customWidth="1"/>
    <col min="60" max="60" width="15.7109375" style="4" customWidth="1"/>
    <col min="61" max="63" width="12.7109375" style="4" customWidth="1"/>
    <col min="64" max="66" width="15.7109375" style="4" customWidth="1"/>
    <col min="67" max="67" width="12.7109375" style="4" customWidth="1"/>
    <col min="68" max="73" width="9.140625" style="4"/>
    <col min="74" max="16384" width="9.140625" style="1"/>
  </cols>
  <sheetData>
    <row r="1" spans="2:81" ht="15" customHeight="1" x14ac:dyDescent="0.25">
      <c r="T1" s="4"/>
      <c r="U1" s="4"/>
      <c r="BI1" s="14"/>
      <c r="BJ1" s="14"/>
      <c r="BK1" s="14"/>
      <c r="BQ1" s="15"/>
      <c r="BR1" s="209"/>
      <c r="BS1" s="209"/>
      <c r="BT1" s="228"/>
      <c r="BU1" s="228"/>
      <c r="BW1" s="229" t="s">
        <v>8</v>
      </c>
      <c r="BX1" s="229"/>
      <c r="BY1" s="16"/>
      <c r="BZ1" s="17"/>
      <c r="CA1" s="229" t="s">
        <v>9</v>
      </c>
      <c r="CB1" s="229"/>
      <c r="CC1" s="18"/>
    </row>
    <row r="2" spans="2:81" ht="30" customHeight="1" x14ac:dyDescent="0.25">
      <c r="B2" s="230" t="s">
        <v>28</v>
      </c>
      <c r="C2" s="230"/>
      <c r="D2" s="6"/>
      <c r="E2" s="230" t="s">
        <v>29</v>
      </c>
      <c r="F2" s="230"/>
      <c r="G2" s="6"/>
      <c r="H2" s="48" t="s">
        <v>30</v>
      </c>
      <c r="I2" s="11"/>
      <c r="M2" s="26"/>
      <c r="N2" s="26"/>
      <c r="O2" s="26"/>
      <c r="P2" s="26"/>
      <c r="Q2" s="26"/>
      <c r="R2" s="26"/>
      <c r="T2" s="4"/>
      <c r="U2" s="9"/>
      <c r="V2" s="4"/>
      <c r="Y2" s="48" t="s">
        <v>46</v>
      </c>
      <c r="Z2" s="26"/>
      <c r="AA2" s="75" t="s">
        <v>14</v>
      </c>
      <c r="BQ2" s="19"/>
      <c r="BT2" s="229"/>
      <c r="BU2" s="229"/>
      <c r="BW2" s="16">
        <v>0</v>
      </c>
      <c r="BX2" s="16">
        <v>0</v>
      </c>
      <c r="BY2" s="16"/>
      <c r="BZ2" s="17"/>
      <c r="CA2" s="229">
        <v>0</v>
      </c>
      <c r="CB2" s="229"/>
      <c r="CC2" s="18"/>
    </row>
    <row r="3" spans="2:81" ht="30" customHeight="1" x14ac:dyDescent="0.25">
      <c r="B3" s="231">
        <v>500</v>
      </c>
      <c r="C3" s="231"/>
      <c r="D3" s="6"/>
      <c r="E3" s="231">
        <v>600</v>
      </c>
      <c r="F3" s="231"/>
      <c r="G3" s="6"/>
      <c r="H3" s="12" t="s">
        <v>1</v>
      </c>
      <c r="I3" s="8"/>
      <c r="M3" s="27"/>
      <c r="N3" s="27"/>
      <c r="P3" s="27"/>
      <c r="Q3" s="27"/>
      <c r="R3" s="27"/>
      <c r="T3" s="4"/>
      <c r="U3" s="30"/>
      <c r="V3" s="4"/>
      <c r="Y3" s="95" t="s">
        <v>60</v>
      </c>
      <c r="Z3" s="27"/>
      <c r="AA3" s="73" t="s">
        <v>73</v>
      </c>
      <c r="BQ3" s="18"/>
      <c r="BR3" s="18"/>
      <c r="BS3" s="18"/>
      <c r="BW3" s="20"/>
      <c r="BX3" s="20"/>
      <c r="BY3" s="20"/>
      <c r="BZ3" s="20"/>
      <c r="CA3" s="20"/>
      <c r="CB3" s="20"/>
      <c r="CC3" s="20"/>
    </row>
    <row r="4" spans="2:81" ht="30" customHeight="1" x14ac:dyDescent="0.25">
      <c r="B4" s="232" t="s">
        <v>0</v>
      </c>
      <c r="C4" s="232"/>
      <c r="D4" s="6"/>
      <c r="E4" s="232" t="s">
        <v>0</v>
      </c>
      <c r="F4" s="232"/>
      <c r="G4" s="6"/>
      <c r="H4" s="13" t="s">
        <v>0</v>
      </c>
      <c r="I4" s="9"/>
      <c r="M4" s="28"/>
      <c r="N4" s="28"/>
      <c r="O4" s="28"/>
      <c r="P4" s="28"/>
      <c r="Q4" s="28"/>
      <c r="R4" s="28"/>
      <c r="T4" s="4"/>
      <c r="U4" s="31"/>
      <c r="V4" s="4"/>
      <c r="Y4" s="94">
        <f>IF(E3="Диаметр",0,IF(H3="Диаметр",(E3-B3)/2,(H3-E3)/2))</f>
        <v>50</v>
      </c>
      <c r="Z4" s="28"/>
      <c r="AA4" s="74" t="s">
        <v>151</v>
      </c>
      <c r="AT4" s="21"/>
      <c r="BI4" s="5"/>
      <c r="BJ4" s="5"/>
      <c r="BQ4" s="210"/>
      <c r="BR4" s="210"/>
      <c r="BS4" s="210"/>
      <c r="BW4" s="229" t="s">
        <v>10</v>
      </c>
      <c r="BX4" s="229"/>
      <c r="BY4" s="16"/>
      <c r="CA4" s="227" t="s">
        <v>11</v>
      </c>
      <c r="CB4" s="227"/>
    </row>
    <row r="5" spans="2:81" ht="10.15" customHeight="1" x14ac:dyDescent="0.25">
      <c r="B5" s="28"/>
      <c r="C5" s="28"/>
      <c r="D5" s="6"/>
      <c r="E5" s="28"/>
      <c r="F5" s="28"/>
      <c r="G5" s="6"/>
      <c r="H5" s="28"/>
      <c r="I5" s="9"/>
      <c r="M5" s="28"/>
      <c r="N5" s="28"/>
      <c r="O5" s="28"/>
      <c r="P5" s="28"/>
      <c r="Q5" s="28"/>
      <c r="R5" s="28"/>
      <c r="T5" s="4"/>
      <c r="U5" s="31"/>
      <c r="V5" s="4"/>
      <c r="Z5" s="28"/>
      <c r="AA5" s="28"/>
      <c r="AT5" s="21"/>
      <c r="BI5" s="5"/>
      <c r="BJ5" s="5"/>
      <c r="BQ5" s="89"/>
      <c r="BR5" s="89"/>
      <c r="BS5" s="89"/>
      <c r="BW5" s="91"/>
      <c r="BX5" s="91"/>
      <c r="BY5" s="91"/>
      <c r="CA5" s="90"/>
      <c r="CB5" s="90"/>
    </row>
    <row r="6" spans="2:81" ht="30" customHeight="1" x14ac:dyDescent="0.25">
      <c r="B6" s="233" t="str">
        <f>IF(B3="Диаметр","-",IF(E3="Диаметр","Моно",IF(H3="Диаметр",IF(Y3="Коаксиал","Коаксиал","Сэндвич"),"Утепленный коаксиал")))</f>
        <v>Сэндвич</v>
      </c>
      <c r="C6" s="233"/>
      <c r="D6" s="233"/>
      <c r="E6" s="233"/>
      <c r="F6" s="233"/>
      <c r="G6" s="233"/>
      <c r="H6" s="233"/>
      <c r="I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U6" s="7"/>
      <c r="BI6" s="5"/>
      <c r="BJ6" s="5"/>
      <c r="BQ6" s="210"/>
      <c r="BR6" s="210"/>
      <c r="BS6" s="210"/>
      <c r="BW6" s="16">
        <v>0</v>
      </c>
      <c r="BX6" s="22">
        <v>0</v>
      </c>
      <c r="BY6" s="22"/>
      <c r="CA6" s="227">
        <v>1.2</v>
      </c>
      <c r="CB6" s="227"/>
    </row>
    <row r="7" spans="2:81" ht="10.15" customHeight="1" x14ac:dyDescent="0.25"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BA7" s="85"/>
      <c r="BG7" s="86"/>
      <c r="BH7" s="87"/>
      <c r="BI7" s="87"/>
      <c r="BJ7" s="7"/>
    </row>
    <row r="8" spans="2:81" ht="30" customHeight="1" x14ac:dyDescent="0.25">
      <c r="B8" s="192" t="s">
        <v>12</v>
      </c>
      <c r="C8" s="194"/>
      <c r="D8" s="35" t="s">
        <v>13</v>
      </c>
      <c r="E8" s="192" t="s">
        <v>14</v>
      </c>
      <c r="F8" s="194"/>
      <c r="H8" s="35" t="s">
        <v>32</v>
      </c>
      <c r="I8" s="35" t="s">
        <v>15</v>
      </c>
      <c r="J8" s="35" t="s">
        <v>37</v>
      </c>
      <c r="K8" s="35" t="s">
        <v>56</v>
      </c>
      <c r="L8" s="35" t="s">
        <v>47</v>
      </c>
      <c r="M8" s="35" t="s">
        <v>48</v>
      </c>
      <c r="N8" s="35" t="s">
        <v>49</v>
      </c>
      <c r="O8" s="35" t="s">
        <v>53</v>
      </c>
      <c r="P8" s="35" t="s">
        <v>54</v>
      </c>
      <c r="Q8" s="35" t="s">
        <v>55</v>
      </c>
      <c r="R8" s="36" t="s">
        <v>50</v>
      </c>
      <c r="S8" s="36" t="s">
        <v>51</v>
      </c>
      <c r="T8" s="36" t="s">
        <v>52</v>
      </c>
      <c r="U8" s="36" t="s">
        <v>34</v>
      </c>
      <c r="V8" s="36" t="s">
        <v>35</v>
      </c>
      <c r="W8" s="36" t="s">
        <v>39</v>
      </c>
      <c r="Y8" s="3" t="s">
        <v>16</v>
      </c>
      <c r="Z8" s="3" t="s">
        <v>17</v>
      </c>
      <c r="AB8" s="35" t="s">
        <v>28</v>
      </c>
      <c r="AC8" s="35" t="s">
        <v>29</v>
      </c>
      <c r="AD8" s="35" t="s">
        <v>30</v>
      </c>
      <c r="AF8" s="35" t="s">
        <v>31</v>
      </c>
      <c r="AG8" s="35" t="s">
        <v>0</v>
      </c>
      <c r="AH8" s="35" t="s">
        <v>3</v>
      </c>
      <c r="AI8" s="35" t="s">
        <v>45</v>
      </c>
      <c r="AJ8" s="35" t="s">
        <v>38</v>
      </c>
      <c r="AK8" s="8"/>
      <c r="AL8" s="35" t="s">
        <v>2</v>
      </c>
      <c r="AM8" s="35" t="s">
        <v>36</v>
      </c>
      <c r="AN8" s="4"/>
      <c r="AO8" s="76" t="s">
        <v>72</v>
      </c>
      <c r="AP8" s="4"/>
      <c r="BF8" s="88"/>
      <c r="BG8" s="23"/>
      <c r="BH8" s="87"/>
      <c r="BI8" s="87"/>
      <c r="BJ8" s="5"/>
    </row>
    <row r="9" spans="2:81" ht="30" customHeight="1" x14ac:dyDescent="0.25">
      <c r="B9" s="37"/>
      <c r="C9" s="38" t="s">
        <v>18</v>
      </c>
      <c r="D9" s="39">
        <f>IF(B3="Диаметр",0,1000)</f>
        <v>1000</v>
      </c>
      <c r="E9" s="201" t="s">
        <v>27</v>
      </c>
      <c r="F9" s="202"/>
      <c r="H9" s="117">
        <f>IF(B$3="Диаметр",0,IF(B$4="Сталь",0,IF(E$3="Диаметр",CEILING(R9,0.01)*IF(R9&gt;0,1,0),IF(E$4="Сталь",0,IF(H$3="Диаметр",IF(Y$3="Коаксиал",CEILING(R9+S9,0.01)*IF(R9&gt;0,IF(S9&gt;0,1,0)),CEILING(R9+S9+U9+V9+W9,0.01)*IF(R9&gt;0,IF(S9&gt;0,1,0))),IF(H$4="Сталь",0,CEILING(R9+S9+T9+U9+V9+W9,0.01)*IF(R9&gt;0,IF(S9&gt;0,IF(T9&gt;0,1,0)))))))))*2.223*IF(OR(AND(B3&lt;&gt;"Диаметр",B3&gt;1000,E3="Диаметр",H3="Диаметр"),AND(E3&lt;&gt;"Диаметр",E3&gt;1000,H3="Диаметр"),AND(H3&lt;&gt;"Диаметр",H3&gt;1000)),1.03,1.01)</f>
        <v>0</v>
      </c>
      <c r="I9" s="69">
        <f>IF(Y$3="Коаксиал",0,IF(B$3="Диаметр",0,IF(E$3="Диаметр",0,IF(H$3="Диаметр",CEILING(((E$3/2*0.001)^2-(B$3/2*0.001)^2)*3.14*D9*0.001,0.001),CEILING(((H$3/2*0.001)^2-(E$3/2*0.001)^2)*3.14*D9*0.001,0.001)))))</f>
        <v>8.7000000000000008E-2</v>
      </c>
      <c r="J9" s="69">
        <f>IF(Y$3="Коаксиал",0,IF(B$3="Диаметр",0,IF(E$3="Диаметр",0,IF(H$3="Диаметр",CEILING(((E$3/2*0.001)^2-(B$3/2*0.001)^2)*3.14*0.05,0.001)*2,CEILING(((H3/2*0.001)^2-(E$3/2*0.001)^2)*3.14*0.05,0.001)*2))))</f>
        <v>0.01</v>
      </c>
      <c r="K9" s="40">
        <f>IF(Y$3="Коаксиал",0,IF(B$3="Диаметр",0,IF(E$3="Диаметр",0,IF(H$3="Диаметр",IF(E$3&lt;=700,CEILING((E$3*0.001)^2*0.88,0.001)*2,CEILING((E$3*0.001)^2*0.75,0.001)*2),IF(H$3&lt;=700,CEILING((H$3*0.001)^2*0.88,0.001)*2,CEILING((H$3*0.001)^2*0.75,0.001)*2)))))</f>
        <v>0.63400000000000001</v>
      </c>
      <c r="L9" s="40">
        <f>AB9*IF(B$4="Сталь",0,VLOOKUP(B$4,$AF$9:$AI$54,4,0))</f>
        <v>0</v>
      </c>
      <c r="M9" s="40">
        <f>AC9*IF(E$4="Сталь",0,VLOOKUP(E$4,$AF$9:$AI$54,4,0))</f>
        <v>0</v>
      </c>
      <c r="N9" s="40">
        <f>AD9*IF(H$4="Сталь",0,VLOOKUP(H$4,$AF$9:$AI$54,4,0))</f>
        <v>0</v>
      </c>
      <c r="O9" s="40">
        <f t="shared" ref="O9:O25" si="0">I9*100</f>
        <v>8.7000000000000011</v>
      </c>
      <c r="P9" s="40">
        <f t="shared" ref="P9:P25" si="1">J9*100</f>
        <v>1</v>
      </c>
      <c r="Q9" s="40">
        <f t="shared" ref="Q9:Q26" si="2">K9*AI$56</f>
        <v>7.6080000000000005</v>
      </c>
      <c r="R9" s="40">
        <f>IF(B$4="Сталь",0,L9*VLOOKUP(B$4,$AF$9:$AJ$54,5,0))</f>
        <v>0</v>
      </c>
      <c r="S9" s="40">
        <f>IF(E$4="Сталь",0,M9*VLOOKUP(E$4,$AF$9:$AJ$54,5,0))</f>
        <v>0</v>
      </c>
      <c r="T9" s="40">
        <f>IF(H$4="Сталь",0,N9*VLOOKUP(H$4,$AF$9:$AJ$54,5,0))</f>
        <v>0</v>
      </c>
      <c r="U9" s="40">
        <f>IF(Y$3="Коаксиал",0,IF(B$3="Диаметр",0,IF(E$3="Диаметр",0,IF(H$3="Диаметр",I9*AM$9,I9*AM$9))))</f>
        <v>235.07400000000001</v>
      </c>
      <c r="V9" s="40">
        <f>IF(Y$3="Коаксиал",0,IF(B$3="Диаметр",0,IF(E$3="Диаметр",0,IF(H$3="Диаметр",J9*AM$10,J9*AM$10))))</f>
        <v>35.372</v>
      </c>
      <c r="W9" s="40">
        <f t="shared" ref="W9:W26" si="3">Q9*AJ$56</f>
        <v>401.322</v>
      </c>
      <c r="Y9" s="119">
        <f>IF(AA$4="Покраска",0,IF(B$3="Диаметр",0,IF(E$3="Диаметр",CEILING(AB9*AA$4,1),IF(H$3="Диаметр",CEILING(AC9*AA$4,1),CEILING(AD9*AA$4,1)))))</f>
        <v>0</v>
      </c>
      <c r="Z9" s="98">
        <f>IF(B$3="Диаметр",0,IF(E$3="Диаметр",CEILING(L9,0.05)*IF(L9&gt;0,1,0),IF(H$3="Диаметр",IF(Y$3="Коаксиал",CEILING(L9+M9,0.05)*IF(L9&gt;0,IF(M9&gt;0,1,0)),CEILING(L9+M9+O9+P9+Q9,0.05)*IF(L9&gt;0,IF(M9&gt;0,1,0))),CEILING(L9+M9+N9+O9+P9+Q9,0.05)*IF(L9&gt;0,IF(M9&gt;0,IF(N9&gt;0,1,0))))))*IF(AA$3="Сделать толще",1,AA$3)</f>
        <v>0</v>
      </c>
      <c r="AB9" s="100">
        <f>IF(B$3="Диаметр",0,CEILING((B$3*3.14*0.001)*D9*0.001,0.01))</f>
        <v>1.57</v>
      </c>
      <c r="AC9" s="100">
        <f>IF(B$3="Диаметр",0,IF(E$3="Диаметр",0,CEILING((E$3*3.14*0.001)*D9*0.001,0.01)))</f>
        <v>1.8900000000000001</v>
      </c>
      <c r="AD9" s="100">
        <f>IF(B$3="Диаметр",0,IF(E$3="Диаметр",0,IF(H$3="Диаметр",0,CEILING((H$3*3.14*0.001)*D9*0.001,0.01))))</f>
        <v>0</v>
      </c>
      <c r="AF9" s="72" t="str">
        <f t="shared" ref="AF9:AF14" si="4">$AG$9&amp;" "&amp;AH9</f>
        <v>Оц. 0,5</v>
      </c>
      <c r="AG9" s="215" t="s">
        <v>26</v>
      </c>
      <c r="AH9" s="72">
        <v>0.5</v>
      </c>
      <c r="AI9" s="72">
        <v>4</v>
      </c>
      <c r="AJ9" s="72">
        <v>63.6</v>
      </c>
      <c r="AK9" s="8"/>
      <c r="AL9" s="68" t="s">
        <v>192</v>
      </c>
      <c r="AM9" s="72">
        <v>2702</v>
      </c>
      <c r="AN9" s="4"/>
      <c r="AO9" s="107" t="s">
        <v>0</v>
      </c>
      <c r="AP9" s="4"/>
      <c r="BF9" s="88"/>
      <c r="BG9" s="23"/>
      <c r="BH9" s="87"/>
      <c r="BI9" s="87"/>
      <c r="BJ9" s="5"/>
    </row>
    <row r="10" spans="2:81" ht="30" customHeight="1" x14ac:dyDescent="0.25">
      <c r="B10" s="37"/>
      <c r="C10" s="38" t="s">
        <v>105</v>
      </c>
      <c r="D10" s="41">
        <f>IF(B3="Диаметр",0,IF(E3="Диаметр",E10+200,F10+200))</f>
        <v>800</v>
      </c>
      <c r="E10" s="42">
        <f>IF($B$3="Диаметр",0,$B$3)</f>
        <v>500</v>
      </c>
      <c r="F10" s="43">
        <f>IF(B3="Диаметр",0,IF(E3="Диаметр",0,IF(H3="Диаметр",E10+Y4*2,E3+Y4*2)))</f>
        <v>600</v>
      </c>
      <c r="H10" s="117">
        <f>IF(B$3="Диаметр",0,IF(B$4="Сталь",0,IF(E$3="Диаметр",CEILING(R10,0.01)*IF(R10&gt;0,1,0),IF(E$4="Сталь",0,IF(H$3="Диаметр",IF(Y$3="Коаксиал",CEILING(R10+S10,0.01)*IF(R10&gt;0,IF(S10&gt;0,1,0)),CEILING(R10+S10+U10+V10+W10,0.01)*IF(R10&gt;0,IF(S10&gt;0,1,0))),IF(H$4="Сталь",0,CEILING(R10+S10+T10+U10+V10+W10,0.01)*IF(R10&gt;0,IF(S10&gt;0,IF(T10&gt;0,1,0)))))))))*2.223*IF(OR(AND(B3&lt;&gt;"Диаметр",B3&gt;800,E3="Диаметр",H3="Диаметр"),AND(E3&lt;&gt;"Диаметр",E3&gt;800,H3="Диаметр"),AND(H3&lt;&gt;"Диаметр",H3&gt;800)),1.05,1)*IF(OR(AND(B3&lt;&gt;"Диаметр",B3&gt;1000,E3="Диаметр",H3="Диаметр"),AND(E3&lt;&gt;"Диаметр",E3&gt;1000,H3="Диаметр"),AND(H3&lt;&gt;"Диаметр",H3&gt;1000)),1.03,1.01)</f>
        <v>0</v>
      </c>
      <c r="I10" s="69">
        <f>IF(Y3="Коаксиал",0,IF(B3="Диаметр",0,IF(E3="Диаметр",0,IF(H3="Диаметр",CEILING(((E3/2*0.001)^2-(B3/2*0.001)^2)*3.14*D10*0.001-(F10/2*0.001)^2*3.14*Y4*0.001+((F10/2*0.001)^2-(E10/2*0.001)^2)*(100+E3/2)*0.001,0.001),CEILING(((H3/2*0.001)^2-(E3/2*0.001)^2)*3.14*D10*0.001-(F10/2*0.001)^2*3.14*Y4*0.001+((F10/2*0.001)^2-((F10-Y4*2)/2*0.001)^2)*(100+H3/2)*0.001,0.001)))))</f>
        <v>6.6000000000000003E-2</v>
      </c>
      <c r="J10" s="69">
        <f>IF(Y3="Коаксиал",0,IF(B3="Диаметр",0,IF(E3="Диаметр",0,IF(H3="Диаметр",CEILING(((E3/2*0.001)^2-(B3/2*0.001)^2)*3.14*0.05,0.001)*3,CEILING(((H3/2*0.001)^2-(E3/2*0.001)^2)*3.14*0.05,0.001)*3))))</f>
        <v>1.4999999999999999E-2</v>
      </c>
      <c r="K10" s="40">
        <f>IF(Y$3="Коаксиал",0,IF(B$3="Диаметр",0,IF(E$3="Диаметр",0,IF(H$3="Диаметр",IF(E$3&lt;=700,CEILING((E$3*0.001)^2*0.88,0.001)*3,CEILING((E$3*0.001)^2*0.75,0.001)*3),IF(H$3&lt;=700,CEILING((H$3*0.001)^2*0.88,0.001)*3,CEILING((H$3*0.001)^2*0.75,0.001)*3)))))*IF(H$3="Диаметр",IF(E$3&gt;1000,2,1),IF(H$3&gt;1000,2,1))</f>
        <v>0.95100000000000007</v>
      </c>
      <c r="L10" s="40">
        <f>AB10*IF(B4="Сталь",0,VLOOKUP(B4,$AF$9:$AI$54,4,0))</f>
        <v>0</v>
      </c>
      <c r="M10" s="40">
        <f>AC10*IF(E4="Сталь",0,VLOOKUP(E4,$AF$9:$AI$54,4,0))</f>
        <v>0</v>
      </c>
      <c r="N10" s="40">
        <f>AD10*IF(H4="Сталь",0,VLOOKUP(H4,$AF$9:$AI$54,4,0))</f>
        <v>0</v>
      </c>
      <c r="O10" s="40">
        <f t="shared" si="0"/>
        <v>6.6000000000000005</v>
      </c>
      <c r="P10" s="40">
        <f t="shared" si="1"/>
        <v>1.5</v>
      </c>
      <c r="Q10" s="40">
        <f t="shared" si="2"/>
        <v>11.412000000000001</v>
      </c>
      <c r="R10" s="40">
        <f>IF(B4="Сталь",0,L10*VLOOKUP(B4,$AF$9:$AJ$54,5,0))</f>
        <v>0</v>
      </c>
      <c r="S10" s="40">
        <f>IF(E4="Сталь",0,M10*VLOOKUP(E4,$AF$9:$AJ$54,5,0))</f>
        <v>0</v>
      </c>
      <c r="T10" s="40">
        <f>IF(H4="Сталь",0,N10*VLOOKUP(H4,$AF$9:$AJ$54,5,0))</f>
        <v>0</v>
      </c>
      <c r="U10" s="40">
        <f t="shared" ref="U10:U26" si="5">IF(Y$3="Коаксиал",0,IF(B$3="Диаметр",0,IF(E$3="Диаметр",0,IF(H$3="Диаметр",I10*AM$9,I10*AM$9))))</f>
        <v>178.33200000000002</v>
      </c>
      <c r="V10" s="40">
        <f t="shared" ref="V10:V26" si="6">IF(Y$3="Коаксиал",0,IF(B$3="Диаметр",0,IF(E$3="Диаметр",0,IF(H$3="Диаметр",J10*AM$10,J10*AM$10))))</f>
        <v>53.057999999999993</v>
      </c>
      <c r="W10" s="40">
        <f t="shared" si="3"/>
        <v>601.98300000000006</v>
      </c>
      <c r="Y10" s="119">
        <f>IF(AA$4="Покраска",0,IF(B$3="Диаметр",0,IF(E$3="Диаметр",CEILING(AB10*AA$4,1),IF(H$3="Диаметр",CEILING(AC10*AA$4,1),CEILING(AD10*AA$4,1)))))</f>
        <v>0</v>
      </c>
      <c r="Z10" s="98">
        <f>IF(B$3="Диаметр",0,IF(E$3="Диаметр",CEILING(L10,0.05)*IF(L10&gt;0,1,0),IF(H$3="Диаметр",IF(Y$3="Коаксиал",CEILING(L10+M10,0.05)*IF(L10&gt;0,IF(M10&gt;0,1,0)),CEILING(L10+M10+O10+P10+Q10,0.05)*IF(L10&gt;0,IF(M10&gt;0,1,0))),CEILING(L10+M10+N10+O10+P10+Q10,0.05)*IF(L10&gt;0,IF(M10&gt;0,IF(N10&gt;0,1,0))))))*IF(AA$3="Сделать толще",1,AA$3)</f>
        <v>0</v>
      </c>
      <c r="AB10" s="100">
        <f>IF(B3="Диаметр",0,IF(E3="Диаметр",CEILING(((B3*3.14*0.001)*D10+(E10*3.14*0.001)*(B3/2+100))*0.001,0.01),IF(H3="Диаметр",CEILING(((B3*3.14*0.001)*D10+(E10*3.14*0.001)*(E3/2+100))*0.001,0.01),CEILING(((B3*3.14*0.001)*D10+(E10*3.14*0.001)*(H3/2+100))*0.001,0.01))))*Коэффициенты!AT5</f>
        <v>2.3058000000000001</v>
      </c>
      <c r="AC10" s="100">
        <f>IF(B3="Диаметр",0,IF(E3="Диаметр",0,IF(H3="Диаметр",CEILING(((E3*3.14*0.001)*D10+(F10*3.14*0.001)*(E3/2+100))*0.001,0.01),CEILING(((E3*3.14*0.001)*D10+((F10-Y4*2)*3.14*0.001)*(H3/2+100))*0.001,0.01))))*Коэффициенты!AU5</f>
        <v>2.7467000000000001</v>
      </c>
      <c r="AD10" s="100">
        <f>IF(B3="Диаметр",0,IF(E3="Диаметр",0,IF(H3="Диаметр",0,CEILING(((H3*3.14*0.001)*D10+(F10*3.14*0.001)*(H3/2+100))*0.001,0.01))))*Коэффициенты!AV5</f>
        <v>0</v>
      </c>
      <c r="AF10" s="116" t="str">
        <f t="shared" si="4"/>
        <v>Оц. 0,6</v>
      </c>
      <c r="AG10" s="216"/>
      <c r="AH10" s="116">
        <v>0.6</v>
      </c>
      <c r="AI10" s="116">
        <v>4.8</v>
      </c>
      <c r="AJ10" s="116">
        <v>65.7</v>
      </c>
      <c r="AK10" s="8"/>
      <c r="AL10" s="72" t="s">
        <v>7</v>
      </c>
      <c r="AM10" s="72">
        <v>3537.2</v>
      </c>
      <c r="AN10" s="4"/>
      <c r="AO10" s="104" t="s">
        <v>4</v>
      </c>
      <c r="AP10" s="4"/>
      <c r="BH10" s="87"/>
      <c r="BI10" s="87"/>
      <c r="BJ10" s="5"/>
    </row>
    <row r="11" spans="2:81" ht="30" customHeight="1" x14ac:dyDescent="0.25">
      <c r="B11" s="37"/>
      <c r="C11" s="38" t="s">
        <v>106</v>
      </c>
      <c r="D11" s="41">
        <f>IF(B3="Диаметр",0,IF(E3="Диаметр",E11*1.42+200,F11*1.42+200))</f>
        <v>1052</v>
      </c>
      <c r="E11" s="42">
        <f t="shared" ref="E11:E12" si="7">IF($B$3="Диаметр",0,$B$3)</f>
        <v>500</v>
      </c>
      <c r="F11" s="43">
        <f>IF(B3="Диаметр",0,IF(E3="Диаметр",0,IF(H3="Диаметр",E11+Y4*2,E3+Y4*2)))</f>
        <v>600</v>
      </c>
      <c r="H11" s="117">
        <f>IF(B$3="Диаметр",0,IF(B$4="Сталь",0,IF(E$3="Диаметр",CEILING(R11,0.01)*IF(R11&gt;0,1,0),IF(E$4="Сталь",0,IF(H$3="Диаметр",IF(Y$3="Коаксиал",CEILING(R11+S11,0.01)*IF(R11&gt;0,IF(S11&gt;0,1,0)),CEILING(R11+S11+U11+V11+W11,0.01)*IF(R11&gt;0,IF(S11&gt;0,1,0))),IF(H$4="Сталь",0,CEILING(R11+S11+T11+U11+V11+W11,0.01)*IF(R11&gt;0,IF(S11&gt;0,IF(T11&gt;0,1,0)))))))))*2.223*IF(OR(AND(B3&lt;&gt;"Диаметр",B3&gt;800,E3="Диаметр",H3="Диаметр"),AND(E3&lt;&gt;"Диаметр",E3&gt;800,H3="Диаметр"),AND(H3&lt;&gt;"Диаметр",H3&gt;800)),1.05,1)*IF(OR(AND(B3&lt;&gt;"Диаметр",B3&gt;1000,E3="Диаметр",H3="Диаметр"),AND(E3&lt;&gt;"Диаметр",E3&gt;1000,H3="Диаметр"),AND(H3&lt;&gt;"Диаметр",H3&gt;1000)),1.03,1.01)</f>
        <v>0</v>
      </c>
      <c r="I11" s="69">
        <f>IF(Y3="Коаксиал",0,IF(B3="Диаметр",0,IF(E3="Диаметр",0,IF(H3="Диаметр",CEILING(((E3/2*0.001)^2-(B3/2*0.001)^2)*3.14*D11*0.001-(F11/2*0.001)*(F11*1.42/2*0.001)*3.14*Y4*0.001+((F11/2*0.001)^2-(E11/2*0.001)^2)*(100+E3/2)*0.001,0.001),CEILING(((H3/2*0.001)^2-(E3/2*0.001)^2)*3.14*D11*0.001-(F11/2*0.001)*(F11*1.42/2*0.001)*3.14*Y4*0.001+((F11/2*0.001)^2-((F11-Y4*2)/2*0.001)^2)*(100+H3/2)*0.001,0.001)))))</f>
        <v>8.2000000000000003E-2</v>
      </c>
      <c r="J11" s="69">
        <f>IF(Y3="Коаксиал",0,IF(B3="Диаметр",0,IF(E3="Диаметр",0,IF(H3="Диаметр",CEILING(((E3/2*0.001)^2-(B3/2*0.001)^2)*3.14*0.05,0.001)*3,CEILING(((H3/2*0.001)^2-(E3/2*0.001)^2)*3.14*0.05,0.001)*3))))</f>
        <v>1.4999999999999999E-2</v>
      </c>
      <c r="K11" s="40">
        <f>IF(Y$3="Коаксиал",0,IF(B$3="Диаметр",0,IF(E$3="Диаметр",0,IF(H$3="Диаметр",IF(E$3&lt;=700,CEILING((E$3*0.001)^2*0.88,0.001)*3,CEILING((E$3*0.001)^2*0.75,0.001)*3),IF(H$3&lt;=700,CEILING((H$3*0.001)^2*0.88,0.001)*3,CEILING((H$3*0.001)^2*0.75,0.001)*3)))))*IF(H$3="Диаметр",IF(E$3&gt;1000,2,1),IF(H$3&gt;1000,2,1))</f>
        <v>0.95100000000000007</v>
      </c>
      <c r="L11" s="40">
        <f>AB11*IF(B4="Сталь",0,VLOOKUP(B4,$AF$9:$AI$54,4,0))</f>
        <v>0</v>
      </c>
      <c r="M11" s="40">
        <f>AC11*IF(E4="Сталь",0,VLOOKUP(E4,$AF$9:$AI$54,4,0))</f>
        <v>0</v>
      </c>
      <c r="N11" s="40">
        <f>AD11*IF(H4="Сталь",0,VLOOKUP(H4,$AF$9:$AI$54,4,0))</f>
        <v>0</v>
      </c>
      <c r="O11" s="40">
        <f t="shared" si="0"/>
        <v>8.2000000000000011</v>
      </c>
      <c r="P11" s="40">
        <f t="shared" si="1"/>
        <v>1.5</v>
      </c>
      <c r="Q11" s="40">
        <f t="shared" si="2"/>
        <v>11.412000000000001</v>
      </c>
      <c r="R11" s="40">
        <f>IF(B4="Сталь",0,L11*VLOOKUP(B4,$AF$9:$AJ$54,5,0))</f>
        <v>0</v>
      </c>
      <c r="S11" s="40">
        <f>IF(E4="Сталь",0,M11*VLOOKUP(E4,$AF$9:$AJ$54,5,0))</f>
        <v>0</v>
      </c>
      <c r="T11" s="40">
        <f>IF(H4="Сталь",0,N11*VLOOKUP(H4,$AF$9:$AJ$54,5,0))</f>
        <v>0</v>
      </c>
      <c r="U11" s="40">
        <f t="shared" si="5"/>
        <v>221.56400000000002</v>
      </c>
      <c r="V11" s="40">
        <f t="shared" si="6"/>
        <v>53.057999999999993</v>
      </c>
      <c r="W11" s="40">
        <f t="shared" si="3"/>
        <v>601.98300000000006</v>
      </c>
      <c r="Y11" s="119">
        <f>IF(AA$4="Покраска",0,IF(B$3="Диаметр",0,IF(E$3="Диаметр",CEILING(AB11*AA$4,1),IF(H$3="Диаметр",CEILING(AC11*AA$4,1),CEILING(AD11*AA$4,1)))))</f>
        <v>0</v>
      </c>
      <c r="Z11" s="98">
        <f>IF(B$3="Диаметр",0,IF(E$3="Диаметр",CEILING(L11,0.05)*IF(L11&gt;0,1,0),IF(H$3="Диаметр",IF(Y$3="Коаксиал",CEILING(L11+M11,0.05)*IF(L11&gt;0,IF(M11&gt;0,1,0)),CEILING(L11+M11+O11+P11+Q11,0.05)*IF(L11&gt;0,IF(M11&gt;0,1,0))),CEILING(L11+M11+N11+O11+P11+Q11,0.05)*IF(L11&gt;0,IF(M11&gt;0,IF(N11&gt;0,1,0))))))*IF(AA$3="Сделать толще",1,AA$3)</f>
        <v>0</v>
      </c>
      <c r="AB11" s="100">
        <f>IF(B3="Диаметр",0,IF(E3="Диаметр",CEILING(((B3*3.14*0.001)*D11+(E11*0.001*3.14)*B3+(E11*3.14*0.001)*130)*0.001,0.01),IF(H3="Диаметр",CEILING(((B3*3.14*0.001)*D11+(E11*0.001*3.14)*E3+(E11*3.14*0.001)*130)*0.001,0.01),CEILING(((B3*3.14*0.001)*D11+(E11*0.001*3.14)*H3+(E11*3.14*0.001)*130)*0.001,0.01))))*Коэффициенты!AT6</f>
        <v>4.1440000000000001</v>
      </c>
      <c r="AC11" s="100">
        <f>IF(B3="Диаметр",0,IF(E3="Диаметр",0,IF(E3="Диаметр",0,IF(H3="Диаметр",CEILING(((E3*3.14*0.001)*D11+(F11*0.001*3.14)*E3+(F11*3.14*0.001)*130)*0.001,0.01),CEILING(((E3*3.14*0.001)*D11+((F11-Y4*2)*0.001*3.14)*H3+((F11-Y4*2)*3.14*0.001)*130)*0.001,0.01)))))*Коэффициенты!AU6</f>
        <v>4.1327999999999996</v>
      </c>
      <c r="AD11" s="100">
        <f>IF(B3="Диаметр",0,IF(E3="Диаметр",0,IF(H3="Диаметр",0,CEILING(((H3*3.14*0.001)*D11+(F11*0.001*3.14)*H3+(F11*3.14*0.001)*130)*0.001,0.01))))*Коэффициенты!AV6</f>
        <v>0</v>
      </c>
      <c r="AF11" s="72" t="str">
        <f t="shared" si="4"/>
        <v>Оц. 0,7</v>
      </c>
      <c r="AG11" s="216"/>
      <c r="AH11" s="72">
        <v>0.7</v>
      </c>
      <c r="AI11" s="72">
        <v>5.6</v>
      </c>
      <c r="AJ11" s="72">
        <v>65.5</v>
      </c>
      <c r="AK11" s="8"/>
      <c r="AL11" s="8"/>
      <c r="AM11" s="8"/>
      <c r="AN11" s="4"/>
      <c r="AO11" s="104" t="s">
        <v>156</v>
      </c>
      <c r="AP11" s="4"/>
      <c r="AU11" s="7"/>
      <c r="BH11" s="87"/>
      <c r="BI11" s="87"/>
      <c r="BJ11" s="5"/>
    </row>
    <row r="12" spans="2:81" ht="30" customHeight="1" x14ac:dyDescent="0.25">
      <c r="B12" s="37"/>
      <c r="C12" s="38" t="s">
        <v>19</v>
      </c>
      <c r="D12" s="41">
        <f>IF(B3="Диаметр",0,IF(E3="Диаметр",E12+200,F12+200))</f>
        <v>800</v>
      </c>
      <c r="E12" s="42">
        <f t="shared" si="7"/>
        <v>500</v>
      </c>
      <c r="F12" s="43">
        <f>IF(B3="Диаметр",0,IF(E3="Диаметр",0,IF(H3="Диаметр",E12+Y4*2,E3+Y4*2)))</f>
        <v>600</v>
      </c>
      <c r="H12" s="117">
        <f>IF(B$3="Диаметр",0,IF(B$4="Сталь",0,IF(E$3="Диаметр",CEILING(R12,0.01)*IF(R12&gt;0,1,0),IF(E$4="Сталь",0,IF(H$3="Диаметр",IF(Y$3="Коаксиал",CEILING(R12+S12,0.01)*IF(R12&gt;0,IF(S12&gt;0,1,0)),CEILING(R12+S12+U12+V12+W12,0.01)*IF(R12&gt;0,IF(S12&gt;0,1,0))),IF(H$4="Сталь",0,CEILING(R12+S12+T12+U12+V12+W12,0.01)*IF(R12&gt;0,IF(S12&gt;0,IF(T12&gt;0,1,0)))))))))*2.223*IF(OR(AND(B3&lt;&gt;"Диаметр",B3&gt;800,E3="Диаметр",H3="Диаметр"),AND(E3&lt;&gt;"Диаметр",E3&gt;800,H3="Диаметр"),AND(H3&lt;&gt;"Диаметр",H3&gt;800)),1.05,1)*IF(OR(AND(B3&lt;&gt;"Диаметр",B3&gt;1000,E3="Диаметр",H3="Диаметр"),AND(E3&lt;&gt;"Диаметр",E3&gt;1000,H3="Диаметр"),AND(H3&lt;&gt;"Диаметр",H3&gt;1000)),1.03,1.01)</f>
        <v>0</v>
      </c>
      <c r="I12" s="69">
        <f>IF(Y3="Коаксиал",0,IF(B3="Диаметр",0,IF(E3="Диаметр",0,IF(H3="Диаметр",CEILING(((E3/2*0.001)^2-(B3/2*0.001)^2)*3.14*D12*0.001-(F12/2*0.001)^2*3.14*Y4*0.001+((F12/2*0.001)^2-(E12/2*0.001)^2)*(100+E3/2)*0.001,0.001),CEILING(((H3/2*0.001)^2-(E3/2*0.001)^2)*3.14*D13*0.001-(F12/2*0.001)^2*3.14*Y4*0.001+((F12/2*0.001)^2-((H3-Y4*2)/2*0.001)^2)*(100+H3/2)*0.001,0.001)))))+IF(Y3="Коаксиал",0,IF(B3="Диаметр",0,IF(E3="Диаметр",0,IF(H3="Диаметр",CEILING(((F12/2*0.001)^2-(E12/2*0.001)^2)*3.14*100*0.001+(F12/2*0.001)^2*3.14*Y4*0.001,0.001),CEILING(((F12/2*0.001)^2-((F12-Y4*2)/2*0.001)^2)*3.14*100*0.001+(F12/2*0.001)^2*3.14*Y4*0.001,0.001)))))</f>
        <v>8.8999999999999996E-2</v>
      </c>
      <c r="J12" s="69">
        <f>IF(Y3="Коаксиал",0,IF(B3="Диаметр",0,IF(E3="Диаметр",0,IF(H3="Диаметр",CEILING(((E3/2*0.001)^2-(B3/2*0.001)^2)*3.14*0.05,0.001)*3,CEILING(((H3/2*0.001)^2-(E3/2*0.001)^2)*3.14*0.05,0.001)*3))))</f>
        <v>1.4999999999999999E-2</v>
      </c>
      <c r="K12" s="40">
        <f>IF(Y$3="Коаксиал",0,IF(B$3="Диаметр",0,IF(E$3="Диаметр",0,IF(H$3="Диаметр",IF(E$3&lt;=700,CEILING((E$3*0.001)^2*0.88,0.001)*3,CEILING((E$3*0.001)^2*0.75,0.001)*3),IF(H$3&lt;=700,CEILING((H$3*0.001)^2*0.88,0.001)*3,CEILING((H$3*0.001)^2*0.75,0.001)*3)))))*IF(H$3="Диаметр",IF(E$3&gt;1000,2,1),IF(H$3&gt;1000,2,1))</f>
        <v>0.95100000000000007</v>
      </c>
      <c r="L12" s="40">
        <f>AB12*IF(B4="Сталь",0,VLOOKUP(B4,$AF$9:$AI$54,4,0))</f>
        <v>0</v>
      </c>
      <c r="M12" s="40">
        <f>AC12*IF(E4="Сталь",0,VLOOKUP(E4,$AF$9:$AI$54,4,0))</f>
        <v>0</v>
      </c>
      <c r="N12" s="40">
        <f>AD12*IF(H4="Сталь",0,VLOOKUP(H4,$AF$9:$AI$54,4,0))</f>
        <v>0</v>
      </c>
      <c r="O12" s="40">
        <f t="shared" si="0"/>
        <v>8.9</v>
      </c>
      <c r="P12" s="40">
        <f t="shared" si="1"/>
        <v>1.5</v>
      </c>
      <c r="Q12" s="40">
        <f t="shared" si="2"/>
        <v>11.412000000000001</v>
      </c>
      <c r="R12" s="40">
        <f>IF(B4="Сталь",0,L12*VLOOKUP(B4,$AF$9:$AJ$54,5,0))</f>
        <v>0</v>
      </c>
      <c r="S12" s="40">
        <f>IF(E4="Сталь",0,M12*VLOOKUP(E4,$AF$9:$AJ$54,5,0))</f>
        <v>0</v>
      </c>
      <c r="T12" s="40">
        <f>IF(H4="Сталь",0,N12*VLOOKUP(H4,$AF$9:$AJ$54,5,0))</f>
        <v>0</v>
      </c>
      <c r="U12" s="40">
        <f t="shared" si="5"/>
        <v>240.47799999999998</v>
      </c>
      <c r="V12" s="40">
        <f t="shared" si="6"/>
        <v>53.057999999999993</v>
      </c>
      <c r="W12" s="40">
        <f t="shared" si="3"/>
        <v>601.98300000000006</v>
      </c>
      <c r="Y12" s="119">
        <f>IF(AA$4="Покраска",0,IF(B$3="Диаметр",0,IF(E$3="Диаметр",CEILING(AB12*AA$4,1),IF(H$3="Диаметр",CEILING(AC12*AA$4,1),CEILING(AD12*AA$4,1)))))</f>
        <v>0</v>
      </c>
      <c r="Z12" s="98">
        <f>IF(B$3="Диаметр",0,IF(E$3="Диаметр",CEILING(L12,0.05)*IF(L12&gt;0,1,0),IF(H$3="Диаметр",IF(Y$3="Коаксиал",CEILING(L12+M12,0.05)*IF(L12&gt;0,IF(M12&gt;0,1,0)),CEILING(L12+M12+O12+P12+Q12,0.05)*IF(L12&gt;0,IF(M12&gt;0,1,0))),CEILING(L12+M12+N12+O12+P12+Q12,0.05)*IF(L12&gt;0,IF(M12&gt;0,IF(N12&gt;0,1,0))))))*IF(AA$3="Сделать толще",1,AA$3)</f>
        <v>0</v>
      </c>
      <c r="AB12" s="100">
        <f>(IF(B3="Диаметр",0,IF(E3="Диаметр",CEILING(((B3*3.14*0.001)*D12+(E12*3.14*0.001)*(B3/2+100))*0.001,0.01),IF(H3="Диаметр",CEILING(((B3*3.14*0.001)*D12+(E12*3.14*0.001)*(E3/2+100))*0.001,0.01),CEILING(((B3*3.14*0.001)*D12+(E12*3.14*0.001)*(H3/2+100))*0.001,0.01))))+IF(B3="Диаметр",0,CEILING((B3/2*0.001)^2*3.14+(B3*3.14*0.001)*0.1,0.01)))*Коэффициенты!AT7</f>
        <v>2.7450000000000001</v>
      </c>
      <c r="AC12" s="100">
        <f>(IF(B3="Диаметр",0,IF(E3="Диаметр",0,IF(H3="Диаметр",CEILING(((E3*3.14*0.001)*D12+(F12*3.14*0.001)*(E3/2+100))*0.001,0.01),CEILING(((E3*3.14*0.001)*D12+((F12-Y4*2)*3.14*0.001)*(H3/2+100))*0.001,0.01))))+IF(B3="Диаметр",0,IF(E3="Диаметр",0,IF(H3="Диаметр",CEILING((F12/2*0.001)^2*3.14+(F12*3.14*0.001)*0.1,0.01),CEILING(((F12-Y4*2)/2*0.001)^2*3.14+((F12-Y4*2)*3.14*0.001)*0.1,0.01)))))*Коэффициенты!AU7</f>
        <v>3.3274999999999997</v>
      </c>
      <c r="AD12" s="100">
        <f>(IF(B3="Диаметр",0,IF(E3="Диаметр",0,IF(H3="Диаметр",0,CEILING(((H3*3.14*0.001)*D12+(F12*3.14*0.001)*(H3/2+100))*0.001,0.01))))+IF(B3="Диаметр",0,IF(E3="Диаметр",0,IF(H3="Диаметр",0,CEILING((F12/2*0.001)^2*3.14+(F12*3.14*0.001)*0.1,0.01)))))*Коэффициенты!AV7</f>
        <v>0</v>
      </c>
      <c r="AF12" s="72" t="str">
        <f t="shared" si="4"/>
        <v>Оц. 1</v>
      </c>
      <c r="AG12" s="216"/>
      <c r="AH12" s="72">
        <v>1</v>
      </c>
      <c r="AI12" s="72">
        <v>8</v>
      </c>
      <c r="AJ12" s="72">
        <v>64.8</v>
      </c>
      <c r="AK12" s="8"/>
      <c r="AL12" s="8"/>
      <c r="AM12" s="8"/>
      <c r="AN12" s="4"/>
      <c r="AO12" s="104" t="s">
        <v>62</v>
      </c>
      <c r="AP12" s="4"/>
      <c r="BG12" s="86"/>
      <c r="BH12" s="87"/>
      <c r="BI12" s="87"/>
      <c r="BJ12" s="5"/>
    </row>
    <row r="13" spans="2:81" ht="30" customHeight="1" x14ac:dyDescent="0.25">
      <c r="B13" s="37"/>
      <c r="C13" s="44" t="s">
        <v>184</v>
      </c>
      <c r="D13" s="41">
        <f>D10</f>
        <v>800</v>
      </c>
      <c r="E13" s="42">
        <f>E10</f>
        <v>500</v>
      </c>
      <c r="F13" s="43">
        <f>F10</f>
        <v>600</v>
      </c>
      <c r="H13" s="117">
        <f>IF(G34="Сталь",0,IF(B$3="Диаметр",0,IF(B$4="Сталь",0,IF(E$3="Диаметр",CEILING(R13,0.01)*IF(R13&gt;0,1,0),IF(E$4="Сталь",0,IF(H$3="Диаметр",IF(Y$3="Коаксиал",CEILING(R13+S13,0.01)*IF(R13&gt;0,IF(S13&gt;0,1,0)),CEILING(R13+S13+U13+V13+W13,0.01)*IF(R13&gt;0,IF(S13&gt;0,1,0))),IF(H$4="Сталь",0,CEILING(R13+S13+T13+U13+V13+W13,0.01)*IF(R13&gt;0,IF(S13&gt;0,IF(T13&gt;0,1,0)))))))))*2.223+H34)*IF(OR(AND(B3&lt;&gt;"Диаметр",B3&gt;1000,E3="Диаметр",H3="Диаметр"),AND(E3&lt;&gt;"Диаметр",E3&gt;1000,H3="Диаметр"),AND(H3&lt;&gt;"Диаметр",H3&gt;1000)),1.03,1.01)</f>
        <v>0</v>
      </c>
      <c r="I13" s="69">
        <f>IF(Y3="Коаксиал",0,IF(B3="Диаметр",0,IF(E3="Диаметр",0,IF(H3="Диаметр",CEILING(((E3/2*0.001)^2-(B3/2*0.001)^2)*3.14*D13*0.001-(F13/2*0.001)^2*3.14*Y4*0.001+((F13/2*0.001)^2-(E13/2*0.001)^2)*(100+E3/2)*0.001,0.001),CEILING(((H3/2*0.001)^2-(E3/2*0.001)^2)*3.14*D13*0.001-(F13/2*0.001)^2*3.14*Y4*0.001+((F13/2*0.001)^2-((H3-Y4*2)/2*0.001)^2)*(100+H3/2)*0.001,0.001)))))</f>
        <v>6.6000000000000003E-2</v>
      </c>
      <c r="J13" s="69">
        <f>IF(Y3="Коаксиал",0,IF(B3="Диаметр",0,IF(E3="Диаметр",0,IF(H3="Диаметр",CEILING(((E3/2*0.001)^2-(B3/2*0.001)^2)*3.14*0.05,0.001)*3,CEILING(((H3/2*0.001)^2-(E3/2*0.001)^2)*3.14*0.05,0.001)*3))))</f>
        <v>1.4999999999999999E-2</v>
      </c>
      <c r="K13" s="40">
        <f>IF(Y$3="Коаксиал",0,IF(B$3="Диаметр",0,IF(E$3="Диаметр",0,IF(H$3="Диаметр",IF(E$3&lt;=700,CEILING((E$3*0.001)^2*0.88,0.001)*3,CEILING((E$3*0.001)^2*0.75,0.001)*3),IF(H$3&lt;=700,CEILING((H$3*0.001)^2*0.88,0.001)*3,CEILING((H$3*0.001)^2*0.75,0.001)*3)))))*IF(H$3="Диаметр",IF(E$3&gt;1000,2,1),IF(H$3&gt;1000,2,1))</f>
        <v>0.95100000000000007</v>
      </c>
      <c r="L13" s="40">
        <f>AB13*IF(B4="Сталь",0,VLOOKUP(B4,$AF$9:$AI$54,4,0))</f>
        <v>0</v>
      </c>
      <c r="M13" s="40">
        <f>AC13*IF(E4="Сталь",0,VLOOKUP(E4,$AF$9:$AI$54,4,0))</f>
        <v>0</v>
      </c>
      <c r="N13" s="40">
        <f>AD13*IF(H4="Сталь",0,VLOOKUP(H4,$AF$9:$AI$54,4,0))</f>
        <v>0</v>
      </c>
      <c r="O13" s="40">
        <f t="shared" si="0"/>
        <v>6.6000000000000005</v>
      </c>
      <c r="P13" s="40">
        <f t="shared" si="1"/>
        <v>1.5</v>
      </c>
      <c r="Q13" s="40">
        <f t="shared" si="2"/>
        <v>11.412000000000001</v>
      </c>
      <c r="R13" s="40">
        <f>IF(B4="Сталь",0,L13*VLOOKUP(B4,$AF$9:$AJ$54,5,0))</f>
        <v>0</v>
      </c>
      <c r="S13" s="40">
        <f>IF(E4="Сталь",0,M13*VLOOKUP(E4,$AF$9:$AJ$54,5,0))</f>
        <v>0</v>
      </c>
      <c r="T13" s="40">
        <f>IF(H4="Сталь",0,N13*VLOOKUP(H4,$AF$9:$AJ$54,5,0))</f>
        <v>0</v>
      </c>
      <c r="U13" s="40">
        <f t="shared" si="5"/>
        <v>178.33200000000002</v>
      </c>
      <c r="V13" s="40">
        <f t="shared" si="6"/>
        <v>53.057999999999993</v>
      </c>
      <c r="W13" s="40">
        <f t="shared" si="3"/>
        <v>601.98300000000006</v>
      </c>
      <c r="Y13" s="119">
        <f>IF(G34="Сталь",0,IF(AA$4="Покраска",0,IF(B$3="Диаметр",0,IF(E$3="Диаметр",CEILING(AB13*AA$4,1),IF(H$3="Диаметр",CEILING(AC13*AA$4,1),CEILING(AD13*AA$4,1)))))+Y34)</f>
        <v>0</v>
      </c>
      <c r="Z13" s="98">
        <f>IF(G29="Сталь",0,IF(B$3="Диаметр",0,IF(E$3="Диаметр",CEILING(L13,0.05)*IF(L13&gt;0,1,0),IF(H$3="Диаметр",IF(Y$3="Коаксиал",CEILING(L13+M13,0.05)*IF(L13&gt;0,IF(M13&gt;0,1,0)),CEILING(L13+M13+O13+P13+Q13,0.05)*IF(L13&gt;0,IF(M13&gt;0,1,0))),CEILING(L13+M13+N13+O13+P13+Q13,0.05)*IF(L13&gt;0,IF(M13&gt;0,IF(N13&gt;0,1,0))))))*IF(AA$3="Сделать толще",1,AA$3)+Z34)</f>
        <v>0</v>
      </c>
      <c r="AB13" s="100">
        <f>IF(B3="Диаметр",0,IF(E3="Диаметр",CEILING((E13*0.001*3.14)*200*0.001+((E13+200)/2*0.001*3.14)*SQRT(((E13+200)/2*0.001)^2+(100*0.001)^2)+(E13*0.001*3.14)*100*0.001,0.01),IF(H3="Диаметр",IF(Y3="Коаксиал",0,CEILING((E13*3.14*0.001)*300*0.001,0.01)),CEILING((E13*3.14*0.001)*300*0.001,0.01))))*Коэффициенты!AT8</f>
        <v>0.63360000000000005</v>
      </c>
      <c r="AC13" s="100">
        <f>IF(B3="Диаметр",0,IF(E3="Диаметр",0,IF(H3="Диаметр",IF(Y3="Коаксиал",0,CEILING((F13*0.001*3.14)*100*0.001+((E13+F13)/2*0.001*3.14)*SQRT((Y4*0.001)^2+(E13/3*0.001)^2)+((F13+200)/2*0.001*3.14)*SQRT(((F13+200)/2*0.001)^2+(100*0.001)^2)+(F13*0.001*3.14)*100*0.001,0.01)),0)))*Коэффициенты!AU8</f>
        <v>2.3039999999999998</v>
      </c>
      <c r="AD13" s="100">
        <v>0</v>
      </c>
      <c r="AF13" s="109" t="str">
        <f t="shared" si="4"/>
        <v>Оц. 1,5</v>
      </c>
      <c r="AG13" s="216"/>
      <c r="AH13" s="109">
        <v>1.5</v>
      </c>
      <c r="AI13" s="109">
        <v>12</v>
      </c>
      <c r="AJ13" s="109">
        <v>58.7</v>
      </c>
      <c r="AK13" s="8"/>
      <c r="AL13" s="8"/>
      <c r="AM13" s="8"/>
      <c r="AN13" s="4"/>
      <c r="AO13" s="112" t="s">
        <v>63</v>
      </c>
      <c r="AP13" s="4"/>
      <c r="BF13" s="88"/>
      <c r="BG13" s="23"/>
      <c r="BH13" s="87"/>
      <c r="BI13" s="87"/>
      <c r="BJ13" s="5"/>
    </row>
    <row r="14" spans="2:81" ht="30" customHeight="1" x14ac:dyDescent="0.25">
      <c r="B14" s="37"/>
      <c r="C14" s="38" t="s">
        <v>107</v>
      </c>
      <c r="D14" s="39" t="s">
        <v>27</v>
      </c>
      <c r="E14" s="214" t="s">
        <v>27</v>
      </c>
      <c r="F14" s="214"/>
      <c r="H14" s="117">
        <f>IF(B$3="Диаметр",0,IF(B$4="Сталь",0,IF(E$3="Диаметр",CEILING(R14,0.01)*IF(R14&gt;0,1,0),IF(E$4="Сталь",0,IF(H$3="Диаметр",IF(Y$3="Коаксиал",CEILING(R14+S14,0.01)*IF(R14&gt;0,IF(S14&gt;0,1,0)),CEILING(R14+S14+U14+V14+W14,0.01)*IF(R14&gt;0,IF(S14&gt;0,1,0))),IF(H$4="Сталь",0,CEILING(R14+S14+T14+U14+V14+W14,0.01)*IF(R14&gt;0,IF(S14&gt;0,IF(T14&gt;0,1,0)))))))))*2.223*IF(OR(AND(B3&lt;&gt;"Диаметр",B3&gt;800,E3="Диаметр",H3="Диаметр"),AND(E3&lt;&gt;"Диаметр",E3&gt;800,H3="Диаметр"),AND(H3&lt;&gt;"Диаметр",H3&gt;800)),1.05,1)*IF(OR(AND(B3&lt;&gt;"Диаметр",B3&gt;1000,E3="Диаметр",H3="Диаметр"),AND(E3&lt;&gt;"Диаметр",E3&gt;1000,H3="Диаметр"),AND(H3&lt;&gt;"Диаметр",H3&gt;1000)),1.03,1.01)</f>
        <v>0</v>
      </c>
      <c r="I14" s="69">
        <f>IF(Y3="Коаксиал",0,IF(B3="Диаметр",0,IF(E3="Диаметр",0,IF(H3="Диаметр",CEILING((2*3.14^2*(B3+45)*0.001*((E3/2*0.001)^2-(B3/2*0.001)^2))*90/360,0.001),CEILING((2*3.14^2*(B3+45)*0.001*((H3/2*0.001)^2-(E3/2*0.001)^2))*90/360,0.001)))))</f>
        <v>7.3999999999999996E-2</v>
      </c>
      <c r="J14" s="69">
        <f>IF(Y3="Коаксиал",0,IF(B3="Диаметр",0,IF(E3="Диаметр",0,IF(H3="Диаметр",CEILING(((E3/2*0.001)^2-(B3/2*0.001)^2)*3.14*0.05,0.001)*2,CEILING(((H3/2*0.001)^2-(E3/2*0.001)^2)*3.14*0.05,0.001)*2))))</f>
        <v>0.01</v>
      </c>
      <c r="K14" s="40">
        <f>IF(Y$3="Коаксиал",0,IF(B$3="Диаметр",0,IF(E$3="Диаметр",0,IF(H$3="Диаметр",IF(E$3&lt;=700,CEILING((E$3*0.001)^2*0.88,0.001)*2,CEILING((E$3*0.001)^2*0.75,0.001)*2),IF(H$3&lt;=700,CEILING((H$3*0.001)^2*0.88,0.001)*2,CEILING((H$3*0.001)^2*0.75,0.001)*2)))))</f>
        <v>0.63400000000000001</v>
      </c>
      <c r="L14" s="40">
        <f>AB14*IF(B4="Сталь",0,VLOOKUP(B4,$AF$9:$AI$54,4,0))</f>
        <v>0</v>
      </c>
      <c r="M14" s="40">
        <f>AC14*IF(E4="Сталь",0,VLOOKUP(E4,$AF$9:$AI$54,4,0))</f>
        <v>0</v>
      </c>
      <c r="N14" s="40">
        <f>AD14*IF(H4="Сталь",0,VLOOKUP(H4,$AF$9:$AI$54,4,0))</f>
        <v>0</v>
      </c>
      <c r="O14" s="40">
        <f t="shared" si="0"/>
        <v>7.3999999999999995</v>
      </c>
      <c r="P14" s="40">
        <f t="shared" si="1"/>
        <v>1</v>
      </c>
      <c r="Q14" s="40">
        <f t="shared" si="2"/>
        <v>7.6080000000000005</v>
      </c>
      <c r="R14" s="40">
        <f>IF(B4="Сталь",0,L14*VLOOKUP(B4,$AF$9:$AJ$54,5,0))</f>
        <v>0</v>
      </c>
      <c r="S14" s="40">
        <f>IF(E4="Сталь",0,M14*VLOOKUP(E4,$AF$9:$AJ$54,5,0))</f>
        <v>0</v>
      </c>
      <c r="T14" s="40">
        <f>IF(H4="Сталь",0,N14*VLOOKUP(H4,$AF$9:$AJ$54,5,0))</f>
        <v>0</v>
      </c>
      <c r="U14" s="40">
        <f t="shared" si="5"/>
        <v>199.94799999999998</v>
      </c>
      <c r="V14" s="40">
        <f t="shared" si="6"/>
        <v>35.372</v>
      </c>
      <c r="W14" s="40">
        <f t="shared" si="3"/>
        <v>401.322</v>
      </c>
      <c r="Y14" s="119">
        <f t="shared" ref="Y14:Y19" si="8">IF(AA$4="Покраска",0,IF(B$3="Диаметр",0,IF(E$3="Диаметр",CEILING(AB14*AA$4,1),IF(H$3="Диаметр",CEILING(AC14*AA$4,1),CEILING(AD14*AA$4,1)))))</f>
        <v>0</v>
      </c>
      <c r="Z14" s="98">
        <f t="shared" ref="Z14:Z19" si="9">IF(B$3="Диаметр",0,IF(E$3="Диаметр",CEILING(L14,0.05)*IF(L14&gt;0,1,0),IF(H$3="Диаметр",IF(Y$3="Коаксиал",CEILING(L14+M14,0.05)*IF(L14&gt;0,IF(M14&gt;0,1,0)),CEILING(L14+M14+O14+P14+Q14,0.05)*IF(L14&gt;0,IF(M14&gt;0,1,0))),CEILING(L14+M14+N14+O14+P14+Q14,0.05)*IF(L14&gt;0,IF(M14&gt;0,IF(N14&gt;0,1,0))))))*IF(AA$3="Сделать толще",1,AA$3)</f>
        <v>0</v>
      </c>
      <c r="AB14" s="100">
        <f>IF(B3="Диаметр",0,CEILING((4*3.14^2*(B3+22.5)*B3*0.5*90/360*0.001+0.045*3.14*B3)*0.001,0.01))*Коэффициенты!AT9</f>
        <v>2.0127999999999999</v>
      </c>
      <c r="AC14" s="100">
        <f>IF(B3="Диаметр",0,IF(E3="Диаметр",0,CEILING((4*3.14^2*(B3+22.5)*E3*0.5*90/360*0.001+0.045*3.14*E3)*0.001,0.01)))*Коэффициенты!AU9</f>
        <v>2.0007999999999999</v>
      </c>
      <c r="AD14" s="100">
        <f>IF(B3="Диаметр",0,IF(E3="Диаметр",0,IF(H3="Диаметр",0,CEILING((4*3.14^2*(B3+22.5)*H3*0.5*90/360*0.001+0.045*3.14*H3)*0.001,0.01))))*Коэффициенты!AV9</f>
        <v>0</v>
      </c>
      <c r="AF14" s="72" t="str">
        <f t="shared" si="4"/>
        <v>Оц. 2</v>
      </c>
      <c r="AG14" s="217"/>
      <c r="AH14" s="72">
        <v>2</v>
      </c>
      <c r="AI14" s="72">
        <v>16</v>
      </c>
      <c r="AJ14" s="72">
        <v>60.5</v>
      </c>
      <c r="AK14" s="8"/>
      <c r="AL14" s="8"/>
      <c r="AM14" s="8"/>
      <c r="AN14" s="4"/>
      <c r="AO14" s="112" t="s">
        <v>158</v>
      </c>
      <c r="AP14" s="4"/>
      <c r="BF14" s="88"/>
      <c r="BG14" s="23"/>
      <c r="BH14" s="87"/>
      <c r="BI14" s="87"/>
      <c r="BJ14" s="5"/>
    </row>
    <row r="15" spans="2:81" ht="30" customHeight="1" x14ac:dyDescent="0.25">
      <c r="B15" s="37"/>
      <c r="C15" s="38" t="s">
        <v>168</v>
      </c>
      <c r="D15" s="179" t="s">
        <v>27</v>
      </c>
      <c r="E15" s="201">
        <v>60</v>
      </c>
      <c r="F15" s="202"/>
      <c r="H15" s="117">
        <f>IF(B$3="Диаметр",0,IF(B$4="Сталь",0,IF(E$3="Диаметр",CEILING(R15,0.01)*IF(R15&gt;0,1,0),IF(E$4="Сталь",0,IF(H$3="Диаметр",IF(Y$3="Коаксиал",CEILING(R15+S15,0.01)*IF(R15&gt;0,IF(S15&gt;0,1,0)),CEILING(R15+S15+U15+V15+W15,0.01)*IF(R15&gt;0,IF(S15&gt;0,1,0))),IF(H$4="Сталь",0,CEILING(R15+S15+T15+U15+V15+W15,0.01)*IF(R15&gt;0,IF(S15&gt;0,IF(T15&gt;0,1,0)))))))))*2.223*IF(OR(AND(B3&lt;&gt;"Диаметр",B3&gt;800,E3="Диаметр",H3="Диаметр"),AND(E3&lt;&gt;"Диаметр",E3&gt;800,H3="Диаметр"),AND(H3&lt;&gt;"Диаметр",H3&gt;800)),1.05,1)*IF(OR(AND(B3&lt;&gt;"Диаметр",B3&gt;1000,E3="Диаметр",H3="Диаметр"),AND(E3&lt;&gt;"Диаметр",E3&gt;1000,H3="Диаметр"),AND(H3&lt;&gt;"Диаметр",H3&gt;1000)),1.03,1.01)</f>
        <v>0</v>
      </c>
      <c r="I15" s="69">
        <f>IF(Y3="Коаксиал",0,IF(B3="Диаметр",0,IF(E3="Диаметр",0,IF(H3="Диаметр",CEILING((2*3.14^2*(B3+45)*0.001*((E3/2*0.001)^2-(B3/2*0.001)^2))*45/360,0.001),CEILING((2*3.14^2*(B3+45)*0.001*((H3/2*0.001)^2-(E3/2*0.001)^2))*45/360,0.001)))))</f>
        <v>3.6999999999999998E-2</v>
      </c>
      <c r="J15" s="69">
        <f>IF(Y3="Коаксиал",0,IF(B3="Диаметр",0,IF(E3="Диаметр",0,IF(H3="Диаметр",CEILING(((E3/2*0.001)^2-(B3/2*0.001)^2)*3.14*0.05,0.001)*2,CEILING(((H3/2*0.001)^2-(E3/2*0.001)^2)*3.14*0.05,0.001)*2))))</f>
        <v>0.01</v>
      </c>
      <c r="K15" s="40">
        <f t="shared" ref="K15:K16" si="10">IF(Y$3="Коаксиал",0,IF(B$3="Диаметр",0,IF(E$3="Диаметр",0,IF(H$3="Диаметр",IF(E$3&lt;=700,CEILING((E$3*0.001)^2*0.88,0.001)*2,CEILING((E$3*0.001)^2*0.75,0.001)*2),IF(H$3&lt;=700,CEILING((H$3*0.001)^2*0.88,0.001)*2,CEILING((H$3*0.001)^2*0.75,0.001)*2)))))</f>
        <v>0.63400000000000001</v>
      </c>
      <c r="L15" s="40">
        <f>AB15*IF(B4="Сталь",0,VLOOKUP(B4,$AF$9:$AI$54,4,0))</f>
        <v>0</v>
      </c>
      <c r="M15" s="40">
        <f>AC15*IF(E4="Сталь",0,VLOOKUP(E4,$AF$9:$AI$54,4,0))</f>
        <v>0</v>
      </c>
      <c r="N15" s="40">
        <f>AD15*IF(H4="Сталь",0,VLOOKUP(H4,$AF$9:$AI$54,4,0))</f>
        <v>0</v>
      </c>
      <c r="O15" s="40">
        <f t="shared" ref="O15:O16" si="11">I15*100</f>
        <v>3.6999999999999997</v>
      </c>
      <c r="P15" s="40">
        <f t="shared" ref="P15:P16" si="12">J15*100</f>
        <v>1</v>
      </c>
      <c r="Q15" s="40">
        <f t="shared" si="2"/>
        <v>7.6080000000000005</v>
      </c>
      <c r="R15" s="40">
        <f>IF(B4="Сталь",0,L15*VLOOKUP(B4,$AF$9:$AJ$54,5,0))</f>
        <v>0</v>
      </c>
      <c r="S15" s="40">
        <f>IF(E4="Сталь",0,M15*VLOOKUP(E4,$AF$9:$AJ$54,5,0))</f>
        <v>0</v>
      </c>
      <c r="T15" s="40">
        <f t="shared" ref="T15" si="13">IF(H$4="Сталь",0,N15*VLOOKUP(H$4,$AF$9:$AJ$54,5,0))</f>
        <v>0</v>
      </c>
      <c r="U15" s="40">
        <f t="shared" si="5"/>
        <v>99.97399999999999</v>
      </c>
      <c r="V15" s="40">
        <f t="shared" si="6"/>
        <v>35.372</v>
      </c>
      <c r="W15" s="40">
        <f t="shared" si="3"/>
        <v>401.322</v>
      </c>
      <c r="Y15" s="119">
        <f t="shared" si="8"/>
        <v>0</v>
      </c>
      <c r="Z15" s="98">
        <f t="shared" si="9"/>
        <v>0</v>
      </c>
      <c r="AB15" s="100">
        <f>IF(B3="Диаметр",0,CEILING((4*3.14^2*(B3+45+22.5)*B3*0.5*0.001*45/360+0.045*3.14*B3)*0.001/45*E15*IF(E15&lt;=30,1.1,1),0.01))*Коэффициенты!AT10</f>
        <v>1.1021000000000001</v>
      </c>
      <c r="AC15" s="100">
        <f>IF(B3="Диаметр",0,IF(E3="Диаметр",0,CEILING((4*3.14^2*(B3+45+22.5)*E3*0.5*0.001*45/360+0.045*3.14*E3)*0.001/45*E15*IF(E15&lt;=30,1.1,1),0.01)))*Коэффициенты!AU10</f>
        <v>1.3888</v>
      </c>
      <c r="AD15" s="100">
        <f>IF(B3="Диаметр",0,IF(E3="Диаметр",0,IF(H3="Диаметр",0,CEILING((4*3.14^2*(B3+45+22.5)*H3*0.5*0.001*45/360+0.045*3.14*H3)*0.001/45*E15*IF(E15&lt;=30,1.1,1),0.01))))*Коэффициенты!AV10</f>
        <v>0</v>
      </c>
      <c r="AF15" s="70" t="str">
        <f t="shared" ref="AF15:AF21" si="14">$AG$15&amp;" "&amp;AH15</f>
        <v>430 0,5</v>
      </c>
      <c r="AG15" s="218">
        <v>430</v>
      </c>
      <c r="AH15" s="49">
        <v>0.5</v>
      </c>
      <c r="AI15" s="70">
        <v>4</v>
      </c>
      <c r="AJ15" s="70">
        <v>146.5</v>
      </c>
      <c r="AK15" s="8"/>
      <c r="AL15" s="8"/>
      <c r="AM15" s="8"/>
      <c r="AN15" s="4"/>
      <c r="AO15" s="112" t="s">
        <v>75</v>
      </c>
      <c r="AP15" s="4"/>
      <c r="BH15" s="87"/>
      <c r="BI15" s="87"/>
      <c r="BJ15" s="5"/>
    </row>
    <row r="16" spans="2:81" ht="30" customHeight="1" x14ac:dyDescent="0.25">
      <c r="B16" s="37"/>
      <c r="C16" s="38" t="s">
        <v>166</v>
      </c>
      <c r="D16" s="179" t="s">
        <v>27</v>
      </c>
      <c r="E16" s="201">
        <v>45</v>
      </c>
      <c r="F16" s="202"/>
      <c r="H16" s="117">
        <f>IF(B$3="Диаметр",0,IF(B$4="Сталь",0,IF(E$3="Диаметр",CEILING(R16,0.01)*IF(R16&gt;0,1,0),IF(E$4="Сталь",0,IF(H$3="Диаметр",IF(Y$3="Коаксиал",CEILING(R16+S16,0.01)*IF(R16&gt;0,IF(S16&gt;0,1,0)),CEILING(R16+S16+U16+V16+W16,0.01)*IF(R16&gt;0,IF(S16&gt;0,1,0))),IF(H$4="Сталь",0,CEILING(R16+S16+T16+U16+V16+W16,0.01)*IF(R16&gt;0,IF(S16&gt;0,IF(T16&gt;0,1,0)))))))))*2.223*IF(OR(AND(B3&lt;&gt;"Диаметр",B3&gt;800,E3="Диаметр",H3="Диаметр"),AND(E3&lt;&gt;"Диаметр",E3&gt;800,H3="Диаметр"),AND(H3&lt;&gt;"Диаметр",H3&gt;800)),1.05,1)*IF(OR(AND(B3&lt;&gt;"Диаметр",B3&gt;1000,E3="Диаметр",H3="Диаметр"),AND(E3&lt;&gt;"Диаметр",E3&gt;1000,H3="Диаметр"),AND(H3&lt;&gt;"Диаметр",H3&gt;1000)),1.03,1.01)</f>
        <v>0</v>
      </c>
      <c r="I16" s="69">
        <f>IF(Y3="Коаксиал",0,IF(B3="Диаметр",0,IF(E3="Диаметр",0,IF(H3="Диаметр",CEILING((2*3.14^2*(B3+45)*0.001*((E3/2*0.001)^2-(B3/2*0.001)^2))*45/360,0.001),CEILING((2*3.14^2*(B3+45)*0.001*((H3/2*0.001)^2-(E3/2*0.001)^2))*45/360,0.001)))))</f>
        <v>3.6999999999999998E-2</v>
      </c>
      <c r="J16" s="69">
        <f>IF(Y3="Коаксиал",0,IF(B3="Диаметр",0,IF(E3="Диаметр",0,IF(H3="Диаметр",CEILING(((E3/2*0.001)^2-(B3/2*0.001)^2)*3.14*0.05,0.001)*2,CEILING(((H3/2*0.001)^2-(E3/2*0.001)^2)*3.14*0.05,0.001)*2))))</f>
        <v>0.01</v>
      </c>
      <c r="K16" s="40">
        <f t="shared" si="10"/>
        <v>0.63400000000000001</v>
      </c>
      <c r="L16" s="40">
        <f>AB16*IF(B4="Сталь",0,VLOOKUP(B4,$AF$9:$AI$54,4,0))</f>
        <v>0</v>
      </c>
      <c r="M16" s="40">
        <f>AC16*IF(E4="Сталь",0,VLOOKUP(E4,$AF$9:$AI$54,4,0))</f>
        <v>0</v>
      </c>
      <c r="N16" s="40">
        <f>AD16*IF(H4="Сталь",0,VLOOKUP(H4,$AF$9:$AI$54,4,0))</f>
        <v>0</v>
      </c>
      <c r="O16" s="40">
        <f t="shared" si="11"/>
        <v>3.6999999999999997</v>
      </c>
      <c r="P16" s="40">
        <f t="shared" si="12"/>
        <v>1</v>
      </c>
      <c r="Q16" s="40">
        <f t="shared" si="2"/>
        <v>7.6080000000000005</v>
      </c>
      <c r="R16" s="40">
        <f>IF(B4="Сталь",0,L16*VLOOKUP(B4,$AF$9:$AJ$54,5,0))</f>
        <v>0</v>
      </c>
      <c r="S16" s="40">
        <f>IF(E4="Сталь",0,M16*VLOOKUP(E4,$AF$9:$AJ$54,5,0))</f>
        <v>0</v>
      </c>
      <c r="T16" s="40">
        <f>IF(H$4="Сталь",0,N16*VLOOKUP(H$4,$AF$9:$AJ$54,5,0))</f>
        <v>0</v>
      </c>
      <c r="U16" s="40">
        <f t="shared" si="5"/>
        <v>99.97399999999999</v>
      </c>
      <c r="V16" s="40">
        <f t="shared" si="6"/>
        <v>35.372</v>
      </c>
      <c r="W16" s="40">
        <f t="shared" si="3"/>
        <v>401.322</v>
      </c>
      <c r="Y16" s="119">
        <f t="shared" si="8"/>
        <v>0</v>
      </c>
      <c r="Z16" s="98">
        <f t="shared" si="9"/>
        <v>0</v>
      </c>
      <c r="AB16" s="100">
        <f>IF(B3="Диаметр",0,CEILING((4*3.14^2*(B3+45+22.5)*B3*0.5*0.001*45/360+0.045*3.14*B3)*0.001/45*E16*IF(E16&lt;=30,1.1,1),0.01))*Коэффициенты!AT11</f>
        <v>1.1075999999999999</v>
      </c>
      <c r="AC16" s="100">
        <f>IF(B3="Диаметр",0,IF(E3="Диаметр",0,CEILING((4*3.14^2*(B3+45+22.5)*E3*0.5*0.001*45/360+0.045*3.14*E3)*0.001/45*E16*IF(E16&lt;=30,1.1,1),0.01)))*Коэффициенты!AU11</f>
        <v>1.1067</v>
      </c>
      <c r="AD16" s="100">
        <f>IF(B3="Диаметр",0,IF(E3="Диаметр",0,IF(H3="Диаметр",0,CEILING((4*3.14^2*(B3+45+22.5)*H3*0.5*0.001*45/360+0.045*3.14*H3)*0.001/45*E16*IF(E16&lt;=30,1.1,1),0.01))))*Коэффициенты!AV10</f>
        <v>0</v>
      </c>
      <c r="AF16" s="102" t="str">
        <f t="shared" si="14"/>
        <v>430 0,6</v>
      </c>
      <c r="AG16" s="219"/>
      <c r="AH16" s="49">
        <v>0.6</v>
      </c>
      <c r="AI16" s="102">
        <v>4.8</v>
      </c>
      <c r="AJ16" s="102">
        <v>150</v>
      </c>
      <c r="AK16" s="8"/>
      <c r="AL16" s="8"/>
      <c r="AM16" s="8"/>
      <c r="AN16" s="4"/>
      <c r="AO16" s="112" t="s">
        <v>91</v>
      </c>
      <c r="AP16" s="4"/>
      <c r="AU16" s="7"/>
      <c r="BH16" s="87"/>
      <c r="BI16" s="87"/>
      <c r="BJ16" s="5"/>
    </row>
    <row r="17" spans="2:62" ht="30" customHeight="1" x14ac:dyDescent="0.25">
      <c r="B17" s="37"/>
      <c r="C17" s="38" t="s">
        <v>167</v>
      </c>
      <c r="D17" s="39" t="s">
        <v>27</v>
      </c>
      <c r="E17" s="201">
        <v>30</v>
      </c>
      <c r="F17" s="202"/>
      <c r="H17" s="117">
        <f>IF(B$3="Диаметр",0,IF(B$4="Сталь",0,IF(E$3="Диаметр",CEILING(R17,0.01)*IF(R17&gt;0,1,0),IF(E$4="Сталь",0,IF(H$3="Диаметр",IF(Y$3="Коаксиал",CEILING(R17+S17,0.01)*IF(R17&gt;0,IF(S17&gt;0,1,0)),CEILING(R17+S17+U17+V17+W17,0.01)*IF(R17&gt;0,IF(S17&gt;0,1,0))),IF(H$4="Сталь",0,CEILING(R17+S17+T17+U17+V17+W17,0.01)*IF(R17&gt;0,IF(S17&gt;0,IF(T17&gt;0,1,0)))))))))*2.223*IF(OR(AND(B3&lt;&gt;"Диаметр",B3&gt;800,E3="Диаметр",H3="Диаметр"),AND(E3&lt;&gt;"Диаметр",E3&gt;800,H3="Диаметр"),AND(H3&lt;&gt;"Диаметр",H3&gt;800)),1.05,1)*IF(OR(AND(B3&lt;&gt;"Диаметр",B3&gt;1000,E3="Диаметр",H3="Диаметр"),AND(E3&lt;&gt;"Диаметр",E3&gt;1000,H3="Диаметр"),AND(H3&lt;&gt;"Диаметр",H3&gt;1000)),1.03,1.01)</f>
        <v>0</v>
      </c>
      <c r="I17" s="69">
        <f>IF(Y3="Коаксиал",0,IF(B3="Диаметр",0,IF(E3="Диаметр",0,IF(H3="Диаметр",CEILING((2*3.14^2*(B3+45)*0.001*((E3/2*0.001)^2-(B3/2*0.001)^2))*45/360,0.001),CEILING((2*3.14^2*(B3+45)*0.001*((H3/2*0.001)^2-(E3/2*0.001)^2))*45/360,0.001)))))</f>
        <v>3.6999999999999998E-2</v>
      </c>
      <c r="J17" s="69">
        <f>IF(Y3="Коаксиал",0,IF(B3="Диаметр",0,IF(E3="Диаметр",0,IF(H3="Диаметр",CEILING(((E3/2*0.001)^2-(B3/2*0.001)^2)*3.14*0.05,0.001)*2,CEILING(((H3/2*0.001)^2-(E3/2*0.001)^2)*3.14*0.05,0.001)*2))))</f>
        <v>0.01</v>
      </c>
      <c r="K17" s="40">
        <f>IF(Y$3="Коаксиал",0,IF(B$3="Диаметр",0,IF(E$3="Диаметр",0,IF(H$3="Диаметр",IF(E$3&lt;=700,CEILING((E$3*0.001)^2*0.88,0.001)*2,CEILING((E$3*0.001)^2*0.75,0.001)*2),IF(H$3&lt;=700,CEILING((H$3*0.001)^2*0.88,0.001)*2,CEILING((H$3*0.001)^2*0.75,0.001)*2)))))</f>
        <v>0.63400000000000001</v>
      </c>
      <c r="L17" s="40">
        <f>AB17*IF(B4="Сталь",0,VLOOKUP(B4,$AF$9:$AI$54,4,0))</f>
        <v>0</v>
      </c>
      <c r="M17" s="40">
        <f>AC17*IF(E4="Сталь",0,VLOOKUP(E4,$AF$9:$AI$54,4,0))</f>
        <v>0</v>
      </c>
      <c r="N17" s="40">
        <f>AD17*IF(H4="Сталь",0,VLOOKUP(H4,$AF$9:$AI$54,4,0))</f>
        <v>0</v>
      </c>
      <c r="O17" s="40">
        <f t="shared" si="0"/>
        <v>3.6999999999999997</v>
      </c>
      <c r="P17" s="40">
        <f t="shared" si="1"/>
        <v>1</v>
      </c>
      <c r="Q17" s="40">
        <f t="shared" si="2"/>
        <v>7.6080000000000005</v>
      </c>
      <c r="R17" s="40">
        <f>IF(B4="Сталь",0,L17*VLOOKUP(B4,$AF$9:$AJ$54,5,0))</f>
        <v>0</v>
      </c>
      <c r="S17" s="40">
        <f>IF(E4="Сталь",0,M17*VLOOKUP(E4,$AF$9:$AJ$54,5,0))</f>
        <v>0</v>
      </c>
      <c r="T17" s="40">
        <f t="shared" ref="T17:T26" si="15">IF(H$4="Сталь",0,N17*VLOOKUP(H$4,$AF$9:$AJ$54,5,0))</f>
        <v>0</v>
      </c>
      <c r="U17" s="40">
        <f t="shared" si="5"/>
        <v>99.97399999999999</v>
      </c>
      <c r="V17" s="40">
        <f t="shared" si="6"/>
        <v>35.372</v>
      </c>
      <c r="W17" s="40">
        <f t="shared" si="3"/>
        <v>401.322</v>
      </c>
      <c r="Y17" s="119">
        <f t="shared" si="8"/>
        <v>0</v>
      </c>
      <c r="Z17" s="98">
        <f t="shared" si="9"/>
        <v>0</v>
      </c>
      <c r="AB17" s="100">
        <f>IF(B3="Диаметр",0,CEILING((4*3.14^2*(B3+45+22.5)*B3*0.5*0.001*45/360+0.045*3.14*B3)*0.001/45*E17*IF(E17&lt;=30,1.1,1),0.01))*Коэффициенты!AT12</f>
        <v>0.80370000000000008</v>
      </c>
      <c r="AC17" s="100">
        <f>IF(B3="Диаметр",0,IF(E3="Диаметр",0,CEILING((4*3.14^2*(B3+45+22.5)*E3*0.5*0.001*45/360+0.045*3.14*E3)*0.001/45*E17*IF(E17&lt;=30,1.1,1),0.01)))*Коэффициенты!AU12</f>
        <v>0.8024</v>
      </c>
      <c r="AD17" s="100">
        <f>IF(B3="Диаметр",0,IF(E3="Диаметр",0,IF(H3="Диаметр",0,CEILING((4*3.14^2*(B3+45+22.5)*H3*0.5*0.001*45/360+0.045*3.14*H3)*0.001/45*E17*IF(E17&lt;=30,1.1,1),0.01))))*Коэффициенты!AV12</f>
        <v>0</v>
      </c>
      <c r="AF17" s="70" t="str">
        <f t="shared" si="14"/>
        <v>430 0,8</v>
      </c>
      <c r="AG17" s="219"/>
      <c r="AH17" s="49">
        <v>0.8</v>
      </c>
      <c r="AI17" s="70">
        <v>6.4</v>
      </c>
      <c r="AJ17" s="102">
        <v>141</v>
      </c>
      <c r="AK17" s="8"/>
      <c r="AL17" s="8"/>
      <c r="AM17" s="8"/>
      <c r="AN17" s="4"/>
      <c r="AO17" s="104" t="s">
        <v>187</v>
      </c>
      <c r="AP17" s="4"/>
      <c r="BA17" s="85"/>
      <c r="BG17" s="86"/>
      <c r="BH17" s="87"/>
      <c r="BI17" s="87"/>
      <c r="BJ17" s="5"/>
    </row>
    <row r="18" spans="2:62" ht="30" customHeight="1" x14ac:dyDescent="0.25">
      <c r="B18" s="37"/>
      <c r="C18" s="38" t="s">
        <v>20</v>
      </c>
      <c r="D18" s="39">
        <f>IF(B3="Диаметр",0,100)</f>
        <v>100</v>
      </c>
      <c r="E18" s="201" t="s">
        <v>27</v>
      </c>
      <c r="F18" s="202"/>
      <c r="H18" s="117">
        <f>IF(B$3="Диаметр",0,IF(B$4="Сталь",0,IF(E$3="Диаметр",CEILING(R18,0.01)*IF(R18&gt;0,1,0),IF(E$4="Сталь",0,IF(H$3="Диаметр",IF(Y$3="Коаксиал",CEILING(R18+S18,0.01)*IF(R18&gt;0,IF(S18&gt;0,1,0)),CEILING(R18+S18+U18+V18+W18,0.01)*IF(R18&gt;0,IF(S18&gt;0,1,0))),IF(H$4="Сталь",0,CEILING(R18+S18+T18+U18+V18+W18,0.01)*IF(R18&gt;0,IF(S18&gt;0,IF(T18&gt;0,1,0)))))))))*2.223*IF(OR(AND(B3&lt;&gt;"Диаметр",B3&gt;1000,E3="Диаметр",H3="Диаметр"),AND(E3&lt;&gt;"Диаметр",E3&gt;1000,H3="Диаметр"),AND(H3&lt;&gt;"Диаметр",H3&gt;1000)),1.03,1.01)</f>
        <v>0</v>
      </c>
      <c r="I18" s="69">
        <f>IF(Y3="Коаксиал",0,IF(B3="Диаметр",0,IF(E3="Диаметр",0,IF(H3="Диаметр",CEILING(((E3/2*0.001)^2-(B3/2*0.001)^2)*3.14*D18*0.001+(E3/2*0.001)^2*3.14*Y4*0.001,0.001),CEILING(((H3/2*0.001)^2-(E3/2*0.001)^2)*3.14*D18*0.001+(H3/2*0.001)^2*3.14*Y4*0.001,0.001)))))</f>
        <v>2.3E-2</v>
      </c>
      <c r="J18" s="69">
        <f>IF(Y3="Коаксиал",0,IF(B3="Диаметр",0,IF(E3="Диаметр",0,IF(H3="Диаметр",CEILING(((E3/2*0.001)^2-(B3/2*0.001)^2)*3.14*0.05,0.001)*1,CEILING(((H3/2*0.001)^2-(E3/2*0.001)^2)*3.14*0.05,0.001)*1))))</f>
        <v>5.0000000000000001E-3</v>
      </c>
      <c r="K18" s="40">
        <f>IF(Y$3="Коаксиал",0,IF(B$3="Диаметр",0,IF(E$3="Диаметр",0,IF(H$3="Диаметр",IF(E$3&lt;=700,CEILING((E$3*0.001)^2*0.88,0.001),CEILING((E$3*0.001)^2*0.75,0.001)),IF(H$3&lt;=700,CEILING((H$3*0.001)^2*0.88,0.001),CEILING((H$3*0.001)^2*0.75,0.001))))))</f>
        <v>0.317</v>
      </c>
      <c r="L18" s="40">
        <f>AB18*IF(B4="Сталь",0,VLOOKUP(B4,$AF$9:$AI$54,4,0))</f>
        <v>0</v>
      </c>
      <c r="M18" s="40">
        <f>AC18*IF(E4="Сталь",0,VLOOKUP(E4,$AF$9:$AI$54,4,0))</f>
        <v>0</v>
      </c>
      <c r="N18" s="40">
        <f>AD18*IF(H4="Сталь",0,VLOOKUP(H4,$AF$9:$AI$54,4,0))</f>
        <v>0</v>
      </c>
      <c r="O18" s="40">
        <f t="shared" si="0"/>
        <v>2.2999999999999998</v>
      </c>
      <c r="P18" s="40">
        <f t="shared" si="1"/>
        <v>0.5</v>
      </c>
      <c r="Q18" s="40">
        <f t="shared" si="2"/>
        <v>3.8040000000000003</v>
      </c>
      <c r="R18" s="40">
        <f>IF(B4="Сталь",0,L18*VLOOKUP(B4,$AF$9:$AJ$54,5,0))</f>
        <v>0</v>
      </c>
      <c r="S18" s="40">
        <f>IF(E4="Сталь",0,M18*VLOOKUP(E4,$AF$9:$AJ$54,5,0))</f>
        <v>0</v>
      </c>
      <c r="T18" s="40">
        <f t="shared" si="15"/>
        <v>0</v>
      </c>
      <c r="U18" s="40">
        <f t="shared" si="5"/>
        <v>62.146000000000001</v>
      </c>
      <c r="V18" s="40">
        <f t="shared" si="6"/>
        <v>17.686</v>
      </c>
      <c r="W18" s="40">
        <f t="shared" si="3"/>
        <v>200.661</v>
      </c>
      <c r="Y18" s="119">
        <f t="shared" si="8"/>
        <v>0</v>
      </c>
      <c r="Z18" s="98">
        <f t="shared" si="9"/>
        <v>0</v>
      </c>
      <c r="AB18" s="100">
        <f>IF(B3="Диаметр",0,CEILING((B3*3.14*0.001)*D18*0.001+(B3/2*0.001)^2*3.14,0.01))</f>
        <v>0.36</v>
      </c>
      <c r="AC18" s="100">
        <f>IF(B3="Диаметр",0,IF(E3="Диаметр",0,CEILING((E3*3.14*0.001)*D18*0.001+(E3/2*0.001)^2*3.14,0.01)))</f>
        <v>0.48</v>
      </c>
      <c r="AD18" s="100">
        <f>IF(B3="Диаметр",0,IF(E3="Диаметр",0,IF(H3="Диаметр",0,CEILING((H3*3.14*0.001)*D18*0.001+(H3/2*0.001)^2*3.14,0.01))))</f>
        <v>0</v>
      </c>
      <c r="AF18" s="50" t="str">
        <f t="shared" si="14"/>
        <v>430 1</v>
      </c>
      <c r="AG18" s="219"/>
      <c r="AH18" s="49">
        <v>1</v>
      </c>
      <c r="AI18" s="70">
        <v>8</v>
      </c>
      <c r="AJ18" s="102">
        <v>140</v>
      </c>
      <c r="AK18" s="8"/>
      <c r="AL18" s="8"/>
      <c r="AM18" s="8"/>
      <c r="AN18" s="4"/>
      <c r="AO18" s="104" t="s">
        <v>193</v>
      </c>
      <c r="AP18" s="4"/>
      <c r="BA18" s="85"/>
      <c r="BG18" s="86"/>
      <c r="BH18" s="87"/>
      <c r="BI18" s="87"/>
      <c r="BJ18" s="5"/>
    </row>
    <row r="19" spans="2:62" ht="30" customHeight="1" x14ac:dyDescent="0.25">
      <c r="B19" s="37"/>
      <c r="C19" s="38" t="s">
        <v>21</v>
      </c>
      <c r="D19" s="45">
        <f>IF(B3="Диаметр",0,IF(B3&gt;=300,200,100))</f>
        <v>200</v>
      </c>
      <c r="E19" s="201" t="s">
        <v>27</v>
      </c>
      <c r="F19" s="202"/>
      <c r="H19" s="117">
        <f>IF(B$3="Диаметр",0,IF(B$4="Сталь",0,IF(E$3="Диаметр",CEILING(R19+200,0.01)*IF(R19&gt;0,1,0),IF(E$4="Сталь",0,IF(H$3="Диаметр",IF(Y$3="Коаксиал",CEILING(R19+S19+200,0.01)*IF(R19&gt;0,IF(S19&gt;0,1,0)),CEILING(R19+S19+U19+V19+W19+200,0.01)*IF(R19&gt;0,IF(S19&gt;0,1,0))),IF(H$4="Сталь",0,CEILING(R19+S19+T19+U19+V19+W19+200,0.01)*IF(R19&gt;0,IF(S19&gt;0,IF(T19&gt;0,1,0)))))))))*2.223*IF(OR(AND(B3&lt;&gt;"Диаметр",B3&gt;1000,E3="Диаметр",H3="Диаметр"),AND(E3&lt;&gt;"Диаметр",E3&gt;1000,H3="Диаметр"),AND(H3&lt;&gt;"Диаметр",H3&gt;1000)),1.03,1.01)</f>
        <v>0</v>
      </c>
      <c r="I19" s="69">
        <f>IF(Y3="Коаксиал",0,IF(B3="Диаметр",0,IF(E3="Диаметр",0,IF(H3="Диаметр",CEILING(IF(B3&lt;300,((E3/2*0.001)^2-(B3/2*0.001)^2)*3.14*D19*0.001+(E3/2*0.001)^2*3.14*Y4*0.001,((E3/2*0.001)^2-(B3/2*0.001)^2)*D19/2*0.001*3.14+((E3/2*0.001)^2-(B3/2*0.001)^2)*D19/2*0.001*3.14*1/3),0.001),CEILING(IF(B3&lt;300,((H3/2*0.001)^2-(E3/2*0.001)^2)*3.14*D19*0.001+(H3/2*0.001)^2*3.14*Y4*0.001,((H3/2*0.001)^2-(E3/2*0.001)^2)*D19/2*0.001*3.14+((H3/2*0.001)^2-(E3/2*0.001)^2)*D19/2*0.001*3.14*1/3),0.001)))))</f>
        <v>1.2E-2</v>
      </c>
      <c r="J19" s="69">
        <f>IF(Y3="Коаксиал",0,IF(B3="Диаметр",0,IF(E3="Диаметр",0,IF(H3="Диаметр",CEILING(((E3/2*0.001)^2-(B3/2*0.001)^2)*3.14*0.05,0.001)*1,CEILING(((H3/2*0.001)^2-(E3/2*0.001)^2)*3.14*0.05,0.001)*1))))</f>
        <v>5.0000000000000001E-3</v>
      </c>
      <c r="K19" s="40">
        <f>IF(Y$3="Коаксиал",0,IF(B$3="Диаметр",0,IF(E$3="Диаметр",0,IF(H$3="Диаметр",IF(E$3&lt;=700,CEILING((E$3*0.001)^2*0.88,0.001),CEILING((E$3*0.001)^2*0.75,0.001)),IF(H$3&lt;=700,CEILING((H$3*0.001)^2*0.88,0.001),CEILING((H$3*0.001)^2*0.75,0.001))))))</f>
        <v>0.317</v>
      </c>
      <c r="L19" s="40">
        <f>AB19*IF(B4="Сталь",0,VLOOKUP(B4,$AF$9:$AI$54,4,0))</f>
        <v>0</v>
      </c>
      <c r="M19" s="40">
        <f>AC19*IF(E4="Сталь",0,VLOOKUP(E4,$AF$9:$AI$54,4,0))</f>
        <v>0</v>
      </c>
      <c r="N19" s="40">
        <f>AD19*IF(H4="Сталь",0,VLOOKUP(H4,$AF$9:$AI$54,4,0))</f>
        <v>0</v>
      </c>
      <c r="O19" s="40">
        <f t="shared" si="0"/>
        <v>1.2</v>
      </c>
      <c r="P19" s="40">
        <f t="shared" si="1"/>
        <v>0.5</v>
      </c>
      <c r="Q19" s="40">
        <f t="shared" si="2"/>
        <v>3.8040000000000003</v>
      </c>
      <c r="R19" s="40">
        <f>IF(B4="Сталь",0,L19*VLOOKUP(B4,$AF$9:$AJ$54,5,0))</f>
        <v>0</v>
      </c>
      <c r="S19" s="40">
        <f>IF(E4="Сталь",0,M19*VLOOKUP(E4,$AF$9:$AJ$54,5,0))</f>
        <v>0</v>
      </c>
      <c r="T19" s="40">
        <f t="shared" si="15"/>
        <v>0</v>
      </c>
      <c r="U19" s="40">
        <f t="shared" si="5"/>
        <v>32.423999999999999</v>
      </c>
      <c r="V19" s="40">
        <f t="shared" si="6"/>
        <v>17.686</v>
      </c>
      <c r="W19" s="40">
        <f t="shared" si="3"/>
        <v>200.661</v>
      </c>
      <c r="Y19" s="119">
        <f t="shared" si="8"/>
        <v>0</v>
      </c>
      <c r="Z19" s="98">
        <f t="shared" si="9"/>
        <v>0</v>
      </c>
      <c r="AB19" s="100">
        <f>IF(B3="Диаметр",0,CEILING(IF(B3&gt;=300,(B3*0.001*3.14)*D19/2*0.001+B3/2*0.001*SQRT((B3/2*0.001)^2+(D19/2*0.001)^2)*3.14,(B3*3.14*0.001)*D19*0.001+(B3/2*0.001)^2*3.14),0.01))</f>
        <v>0.37</v>
      </c>
      <c r="AC19" s="100">
        <f>IF(B3="Диаметр",0,IF(E3="Диаметр",0,CEILING(IF(E3&gt;=300,(E3*0.001*3.14)*D19/2*0.001+E3/2*0.001*SQRT((E3/2*0.001)^2+(D19/2*0.001)^2)*3.14,(E3*3.14*0.001)*D19*0.001+(E3/2*0.001)^2*3.14),0.01)))</f>
        <v>0.49</v>
      </c>
      <c r="AD19" s="100">
        <f>IF(B3="Диаметр",0,IF(E3="Диаметр",0,IF(H3="Диаметр",0,CEILING(IF(B3&gt;=300,(H3*0.001*3.14)*D19/2*0.001+H3/2*0.001*SQRT((H3/2*0.001)^2+(D19/2*0.001)^2)*3.14,(H3*3.14*0.001)*D19*0.001+(H3/2*0.001)^2*3.14),0.01))))</f>
        <v>0</v>
      </c>
      <c r="AF19" s="50" t="str">
        <f t="shared" si="14"/>
        <v>430 1,2</v>
      </c>
      <c r="AG19" s="219"/>
      <c r="AH19" s="49">
        <v>1.2</v>
      </c>
      <c r="AI19" s="102">
        <v>9.6</v>
      </c>
      <c r="AJ19" s="102">
        <v>137</v>
      </c>
      <c r="AK19" s="8"/>
      <c r="AL19" s="8"/>
      <c r="AM19" s="8"/>
      <c r="AN19" s="4"/>
      <c r="AO19" s="104" t="s">
        <v>188</v>
      </c>
      <c r="AP19" s="4"/>
      <c r="BF19" s="88"/>
      <c r="BG19" s="23"/>
      <c r="BH19" s="87"/>
      <c r="BI19" s="87"/>
      <c r="BJ19" s="5"/>
    </row>
    <row r="20" spans="2:62" ht="30" customHeight="1" x14ac:dyDescent="0.25">
      <c r="B20" s="37"/>
      <c r="C20" s="38" t="s">
        <v>82</v>
      </c>
      <c r="D20" s="39">
        <f>IF(B3="Диаметр",0,200)</f>
        <v>200</v>
      </c>
      <c r="E20" s="47">
        <f>IF(B3="Диаметр",0,IF(E3="Диаметр",B3+100,IF(H3="Диаметр",E3+100,H3+100)))</f>
        <v>700</v>
      </c>
      <c r="F20" s="39">
        <f>E20</f>
        <v>700</v>
      </c>
      <c r="H20" s="117">
        <f>IF(G29="Сталь",0,IF(B$3="Диаметр",0,IF(B$4="Сталь",0,IF(E$3="Диаметр",CEILING(R20,0.01)*IF(R20&gt;0,1,0),IF(E$4="Сталь",0,IF(H$3="Диаметр",IF(Y$3="Коаксиал",CEILING(R20+S20,0.01)*IF(R20&gt;0,IF(S20&gt;0,1,0)),CEILING(R20+S20+U20+V20+W20,0.01)*IF(R20&gt;0,IF(S20&gt;0,1,0))),IF(H$4="Сталь",0,CEILING(R20+S20+T20+U20+V20+W20,0.01)*IF(R20&gt;0,IF(S20&gt;0,IF(T20&gt;0,1,0)))))))))*2.223+H29)*IF(OR(AND(B3&lt;&gt;"Диаметр",B3&gt;1000,E3="Диаметр",H3="Диаметр"),AND(E3&lt;&gt;"Диаметр",E3&gt;1000,H3="Диаметр"),AND(H3&lt;&gt;"Диаметр",H3&gt;1000)),1.03,1.01)</f>
        <v>0</v>
      </c>
      <c r="I20" s="69">
        <f>IF(Y3="Коаксиал",0,IF(B3="Диаметр",0,IF(E3="Диаметр",0,IF(H3="Диаметр",CEILING(((E3/2*0.001)^2-(B3/2*0.001)^2)*3.14*D20*0.001,0.001),CEILING(((H3/2*0.001)^2-(E3/2*0.001)^2)*3.14*D20*0.001,0.001)))))</f>
        <v>1.8000000000000002E-2</v>
      </c>
      <c r="J20" s="69">
        <f>IF(Y3="Коаксиал",0,IF(B3="Диаметр",0,IF(E3="Диаметр",0,IF(H3="Диаметр",CEILING(((E3/2*0.001)^2-(B3/2*0.001)^2)*3.14*0.05,0.001)*2,CEILING(((H3/2*0.001)^2-(E3/2*0.001)^2)*3.14*0.05,0.001)*2))))</f>
        <v>0.01</v>
      </c>
      <c r="K20" s="40">
        <f>IF(Y$3="Коаксиал",0,IF(B$3="Диаметр",0,IF(E$3="Диаметр",0,IF(H$3="Диаметр",IF(E$3&lt;=700,CEILING((E$3*0.001)^2*0.88,0.001)*2,CEILING((E$3*0.001)^2*0.75,0.001)*2),IF(H$3&lt;=700,CEILING((H$3*0.001)^2*0.88,0.001)*2,CEILING((H$3*0.001)^2*0.75,0.001)*2)))))</f>
        <v>0.63400000000000001</v>
      </c>
      <c r="L20" s="40">
        <f>AB20*IF(B4="Сталь",0,VLOOKUP(B4,$AF$9:$AI$54,4,0))</f>
        <v>0</v>
      </c>
      <c r="M20" s="40">
        <f>AC20*IF(E4="Сталь",0,VLOOKUP(E4,$AF$9:$AI$54,4,0))</f>
        <v>0</v>
      </c>
      <c r="N20" s="40">
        <f>AD20*IF(H4="Сталь",0,VLOOKUP(H4,$AF$9:$AI$54,4,0))</f>
        <v>0</v>
      </c>
      <c r="O20" s="40">
        <f t="shared" si="0"/>
        <v>1.8000000000000003</v>
      </c>
      <c r="P20" s="40">
        <f t="shared" si="1"/>
        <v>1</v>
      </c>
      <c r="Q20" s="40">
        <f t="shared" si="2"/>
        <v>7.6080000000000005</v>
      </c>
      <c r="R20" s="40">
        <f>IF(B4="Сталь",0,L20*VLOOKUP(B4,$AF$9:$AJ$54,5,0))</f>
        <v>0</v>
      </c>
      <c r="S20" s="40">
        <f>IF(E4="Сталь",0,M20*VLOOKUP(E4,$AF$9:$AJ$54,5,0))</f>
        <v>0</v>
      </c>
      <c r="T20" s="40">
        <f t="shared" si="15"/>
        <v>0</v>
      </c>
      <c r="U20" s="40">
        <f t="shared" si="5"/>
        <v>48.636000000000003</v>
      </c>
      <c r="V20" s="40">
        <f t="shared" si="6"/>
        <v>35.372</v>
      </c>
      <c r="W20" s="40">
        <f t="shared" si="3"/>
        <v>401.322</v>
      </c>
      <c r="Y20" s="119">
        <f>IF(G29="Сталь",0,IF(AA$4="Покраска",0,IF(B$3="Диаметр",0,IF(E$3="Диаметр",CEILING(AB20*AA$4,1),IF(H$3="Диаметр",CEILING(AC20*AA$4,1),CEILING(AD20*AA$4,1)))))+Y29)</f>
        <v>0</v>
      </c>
      <c r="Z20" s="98">
        <f>IF(G29="Сталь",0,IF(B$3="Диаметр",0,IF(E$3="Диаметр",CEILING(L20,0.05)*IF(L20&gt;0,1,0),IF(H$3="Диаметр",IF(Y$3="Коаксиал",CEILING(L20+M20,0.05)*IF(L20&gt;0,IF(M20&gt;0,1,0)),CEILING(L20+M20+O20+P20+Q20,0.05)*IF(L20&gt;0,IF(M20&gt;0,1,0))),CEILING(L20+M20+N20+O20+P20+Q20,0.05)*IF(L20&gt;0,IF(M20&gt;0,IF(N20&gt;0,1,0))))))*IF(AA$3="Сделать толще",1,AA$3)+Z29)</f>
        <v>0</v>
      </c>
      <c r="AB20" s="100">
        <f>IF(B3="Диаметр",0,CEILING((B3*3.14*0.001)*D20*0.001,0.01))+Коэффициенты!AT13</f>
        <v>0.32</v>
      </c>
      <c r="AC20" s="100">
        <f>IF(B3="Диаметр",0,IF(E3="Диаметр",0,CEILING((E3*3.14*0.001)*D20*0.001,0.01)))</f>
        <v>0.38</v>
      </c>
      <c r="AD20" s="100">
        <f>IF(B3="Диаметр",0,IF(E3="Диаметр",0,IF(H3="Диаметр",0,CEILING((H3*3.14*0.001)*D20*0.001,0.01))))</f>
        <v>0</v>
      </c>
      <c r="AF20" s="102" t="str">
        <f t="shared" si="14"/>
        <v>430 1,5</v>
      </c>
      <c r="AG20" s="219"/>
      <c r="AH20" s="49">
        <v>1.5</v>
      </c>
      <c r="AI20" s="102">
        <v>12</v>
      </c>
      <c r="AJ20" s="102">
        <v>138</v>
      </c>
      <c r="AK20" s="8"/>
      <c r="AL20" s="8"/>
      <c r="AM20" s="8"/>
      <c r="AN20" s="4"/>
      <c r="AO20" s="104" t="s">
        <v>189</v>
      </c>
      <c r="AP20" s="4"/>
      <c r="BF20" s="88"/>
      <c r="BG20" s="23"/>
      <c r="BH20" s="87"/>
      <c r="BI20" s="87"/>
      <c r="BJ20" s="5"/>
    </row>
    <row r="21" spans="2:62" ht="30" customHeight="1" x14ac:dyDescent="0.25">
      <c r="B21" s="37"/>
      <c r="C21" s="44" t="str">
        <f>IF(E3="Диаметр","Окончание коническое",IF(H3="Диаметр",IF(Y3="Коаксиал","Оголовок коаксиальный","Окончание коническое"),"Оголовок коаксиальный"))</f>
        <v>Окончание коническое</v>
      </c>
      <c r="D21" s="46">
        <f>IF(B3="Диаметр",0,IF(E3="Диаметр",200,IF(H3="Диаметр",IF(Y3="Коаксиал",300,200),300)))</f>
        <v>200</v>
      </c>
      <c r="E21" s="201" t="s">
        <v>27</v>
      </c>
      <c r="F21" s="202"/>
      <c r="H21" s="117">
        <f>IF(B$3="Диаметр",0,IF(B$4="Сталь",0,IF(E$3="Диаметр",CEILING(R21,0.01)*IF(R21&gt;0,1,0),IF(E$4="Сталь",0,IF(H$3="Диаметр",IF(Y$3="Коаксиал",CEILING(R21+S21,0.01)*IF(R21&gt;0,IF(S21&gt;0,1,0)),CEILING(R21+S21+U21+V21+W21,0.01)*IF(R21&gt;0,IF(S21&gt;0,1,0))),IF(H$4="Сталь",0,CEILING(R21+S21+T21+U21+V21+W21,0.01)*IF(R21&gt;0,IF(S21&gt;0,IF(T21&gt;0,1,0)))))))))*2.223*IF(OR(AND(B3&lt;&gt;"Диаметр",B3&gt;1000,E3="Диаметр",H3="Диаметр"),AND(E3&lt;&gt;"Диаметр",E3&gt;1000,H3="Диаметр"),AND(H3&lt;&gt;"Диаметр",H3&gt;1000)),1.03,1.01)</f>
        <v>0</v>
      </c>
      <c r="I21" s="69">
        <f>IF(Y3="Коаксиал",0,IF(B3="Диаметр",0,IF(E3="Диаметр",0,IF(H3="Диаметр",CEILING(((E3/2*0.001)^2+((E3/2*0.001)^2+(E3/2*0.001*B3/2*0.001)+(B3/2*0.001)^2)*1/3-( B3/2*0.001)^2*2)*3.14* D21/2*0.001,0.001),CEILING(((H3/2*0.001)^2+((H3/2*0.001)^2+(H3/2*0.001*E3/2*0.001)+(E3/2*0.001)^2)*1/3-( E3/2*0.001)^2*2)*3.14* D21*1/3*0.001,0.001)))))</f>
        <v>1.3000000000000001E-2</v>
      </c>
      <c r="J21" s="69">
        <f>IF(Y3="Коаксиал",0,IF(B3="Диаметр",0,IF(E3="Диаметр",0,IF(H3="Диаметр",CEILING(((E3/2*0.001)^2-(B3/2*0.001)^2)*3.14*0.05,0.001)*1,CEILING(((H3/2*0.001)^2-(E3/2*0.001)^2)*3.14*0.05,0.001)*1))))</f>
        <v>5.0000000000000001E-3</v>
      </c>
      <c r="K21" s="40">
        <f>IF(Y$3="Коаксиал",0,IF(B$3="Диаметр",0,IF(E$3="Диаметр",0,IF(H$3="Диаметр",IF(E$3&lt;=700,CEILING((E$3*0.001)^2*0.88,0.001),CEILING((E$3*0.001)^2*0.75,0.001)),IF(H$3&lt;=700,CEILING((H$3*0.001)^2*0.88,0.001),CEILING((H$3*0.001)^2*0.75,0.001))))))</f>
        <v>0.317</v>
      </c>
      <c r="L21" s="40">
        <f>AB21*IF(B4="Сталь",0,VLOOKUP(B4,$AF$9:$AI$54,4,0))</f>
        <v>0</v>
      </c>
      <c r="M21" s="40">
        <f>AC21*IF(E4="Сталь",0,VLOOKUP(E4,$AF$9:$AI$54,4,0))</f>
        <v>0</v>
      </c>
      <c r="N21" s="40">
        <f>AD21*IF(H4="Сталь",0,VLOOKUP(H4,$AF$9:$AI$54,4,0))</f>
        <v>0</v>
      </c>
      <c r="O21" s="40">
        <f t="shared" si="0"/>
        <v>1.3</v>
      </c>
      <c r="P21" s="40">
        <f t="shared" si="1"/>
        <v>0.5</v>
      </c>
      <c r="Q21" s="40">
        <f t="shared" si="2"/>
        <v>3.8040000000000003</v>
      </c>
      <c r="R21" s="40">
        <f>IF(B4="Сталь",0,L21*VLOOKUP(B4,$AF$9:$AJ$54,5,0))</f>
        <v>0</v>
      </c>
      <c r="S21" s="40">
        <f>IF(E4="Сталь",0,M21*VLOOKUP(E4,$AF$9:$AJ$54,5,0))</f>
        <v>0</v>
      </c>
      <c r="T21" s="40">
        <f t="shared" si="15"/>
        <v>0</v>
      </c>
      <c r="U21" s="40">
        <f t="shared" si="5"/>
        <v>35.126000000000005</v>
      </c>
      <c r="V21" s="40">
        <f t="shared" si="6"/>
        <v>17.686</v>
      </c>
      <c r="W21" s="40">
        <f t="shared" si="3"/>
        <v>200.661</v>
      </c>
      <c r="Y21" s="119">
        <f t="shared" ref="Y21:Y26" si="16">IF(AA$4="Покраска",0,IF(B$3="Диаметр",0,IF(E$3="Диаметр",CEILING(AB21*AA$4,1),IF(H$3="Диаметр",CEILING(AC21*AA$4,1),CEILING(AD21*AA$4,1)))))</f>
        <v>0</v>
      </c>
      <c r="Z21" s="98">
        <f t="shared" ref="Z21:Z26" si="17">IF(B$3="Диаметр",0,IF(E$3="Диаметр",CEILING(L21,0.05)*IF(L21&gt;0,1,0),IF(H$3="Диаметр",IF(Y$3="Коаксиал",CEILING(L21+M21,0.05)*IF(L21&gt;0,IF(M21&gt;0,1,0)),CEILING(L21+M21+O21+P21+Q21,0.05)*IF(L21&gt;0,IF(M21&gt;0,1,0))),CEILING(L21+M21+N21+O21+P21+Q21,0.05)*IF(L21&gt;0,IF(M21&gt;0,IF(N21&gt;0,1,0))))))*IF(AA$3="Сделать толще",1,AA$3)</f>
        <v>0</v>
      </c>
      <c r="AB21" s="100">
        <f>IF(B3="Диаметр",0,IF(E3="Диаметр",CEILING((B3*3.14*0.001)*D21*0.001,0.01),IF(H3="Диаметр",IF(Y3="Коаксиал",CEILING((B3*3.14*0.001)*D21*0.001,0.01)+CEILING((B3+E3+100)/2*SQRT(((E3+100)/2*0.001)^2+(50*0.001)^2)*0.001*3.14,0.01),CEILING((B3*3.14*0.001)*D21*0.001,0.01)),CEILING((B3*3.14*0.001)*D21*0.001,0.01)+CEILING((B3+H3+100)/2*SQRT(((H3+100)/2*0.001)^2+(50*0.001)^2)*0.001*3.14,0.01))))</f>
        <v>0.32</v>
      </c>
      <c r="AC21" s="100">
        <f>IF(B3="Диаметр",0,IF(E3="Диаметр",0,IF(H3="Диаметр",IF(Y3="Коаксиал",CEILING((E3*0.001*3.14)*D21*2/3*0.001,0.01),CEILING((E3*0.001*3.14)*D21/2*0.001+((B3+E3)/2*0.001*3.14)*SQRT((Y4*0.001)^2+(D21/2*0.001)^2),0.01)),CEILING((E3*0.001*3.14)*D21*2/3*0.001,0.01))))+Коэффициенты!AU13</f>
        <v>1.17</v>
      </c>
      <c r="AD21" s="100">
        <f>IF(B3="Диаметр",0,IF(E3="Диаметр",0,IF(H3="Диаметр",0,CEILING((H3*0.001*3.14)*D21/3*0.001+((E3+H3)/2*0.001*3.14)*SQRT((Y4*0.001)^2+(D21/3*0.001)^2),0.01))))+Коэффициенты!AV13</f>
        <v>0</v>
      </c>
      <c r="AF21" s="70" t="str">
        <f t="shared" si="14"/>
        <v>430 2</v>
      </c>
      <c r="AG21" s="220"/>
      <c r="AH21" s="49">
        <v>2</v>
      </c>
      <c r="AI21" s="70">
        <v>16</v>
      </c>
      <c r="AJ21" s="102">
        <v>145</v>
      </c>
      <c r="AK21" s="8"/>
      <c r="AL21" s="8"/>
      <c r="AM21" s="8"/>
      <c r="AN21" s="4"/>
      <c r="AO21" s="104" t="s">
        <v>74</v>
      </c>
      <c r="AP21" s="4"/>
      <c r="BH21" s="87"/>
      <c r="BI21" s="87"/>
      <c r="BJ21" s="5"/>
    </row>
    <row r="22" spans="2:62" ht="30" customHeight="1" x14ac:dyDescent="0.25">
      <c r="B22" s="37"/>
      <c r="C22" s="38" t="s">
        <v>22</v>
      </c>
      <c r="D22" s="39">
        <f>IF(B3="Диаметр",0,IF(B3&gt;800,500,300))</f>
        <v>300</v>
      </c>
      <c r="E22" s="47">
        <f>IF(B3="Диаметр",0,IF(E3="Диаметр",B3+3,IF(H3="диаметр",B3+3,E3)))</f>
        <v>503</v>
      </c>
      <c r="F22" s="39">
        <f>IF(E3="Диаметр",0,E22)</f>
        <v>503</v>
      </c>
      <c r="H22" s="117">
        <f>IF(B$3="Диаметр",0,IF(B$4="Сталь",0,IF(E$3="Диаметр",CEILING(R22,0.01)*IF(R22&gt;0,1,0),IF(E$4="Сталь",0,IF(H$3="Диаметр",IF(Y$3="Коаксиал",CEILING(R22+S22,0.01)*IF(R22&gt;0,IF(S22&gt;0,1,0)),CEILING(R22+S22+U22+V22+W22,0.01)*IF(R22&gt;0,IF(S22&gt;0,1,0))),IF(H$4="Сталь",0,CEILING(R22+S22+T22+U22+V22+W22,0.01)*IF(R22&gt;0,IF(S22&gt;0,IF(T22&gt;0,1,0)))))))))*2.223*IF(OR(AND(B3&lt;&gt;"Диаметр",B3&gt;1000,E3="Диаметр",H3="Диаметр"),AND(E3&lt;&gt;"Диаметр",E3&gt;1000,H3="Диаметр"),AND(H3&lt;&gt;"Диаметр",H3&gt;1000)),1.03,1.01)</f>
        <v>0</v>
      </c>
      <c r="I22" s="69">
        <f>IF(Y3="Коаксиал",0,IF(B3="Диаметр",0,IF(E3="Диаметр",0,IF(H3="Диаметр",CEILING(IF(E22=F22,((E3/2*0.001)^2+((E3/2*0.001)^2+(E3/2*0.001*B3/2*0.001)+(B3/2*0.001)^2)*1/3-( B3/2*0.001)^2*2)*3.14* D22/3*0.001,((F22/2*0.001)^2-(E22/2*0.001)^2+((F22/2*0.001)^2+(F22/2*0.001)*(E3/2*0.001)+(E3/2*0.001)^2)*1/3+(E3/2*0.001)^2-(B3/2*0.001)^2)*3.14*D22/3*0.001),0.001),CEILING(IF(E22=F22,((H3/2*0.001)^2+((H3/2*0.001)^2+(H3/2*0.001*E3/2*0.001)+(E3/2*0.001)^2)*1/3-( E3/2*0.001)^2*2)*3.14* D22/3*0.001,((F22/2*0.001)^2-(E22/2*0.001)^2+((F22/2*0.001)^2+(F22/2*0.001)*(H3/2*0.001)+(H3/2*0.001)^2)*1/3+(H3/2*0.001)^2-(E3/2*0.001)^2)*3.14*D22/3*0.001),0.001)))))</f>
        <v>1.3000000000000001E-2</v>
      </c>
      <c r="J22" s="69">
        <f>IF(Y3="Коаксиал",0,IF(B3="Диаметр",0,IF(E3="Диаметр",0,IF(H3="Диаметр",CEILING(((E3/2*0.001)^2-(B3/2*0.001)^2)*3.14*0.05,0.001)*1,CEILING(((H3/2*0.001)^2-(E3/2*0.001)^2)*3.14*0.05,0.001)*1))))</f>
        <v>5.0000000000000001E-3</v>
      </c>
      <c r="K22" s="40">
        <f>IF(Y$3="Коаксиал",0,IF(B$3="Диаметр",0,IF(E$3="Диаметр",0,IF(H$3="Диаметр",IF(E$3&lt;=700,CEILING((E$3*0.001)^2*0.88,0.001)*2,CEILING((E$3*0.001)^2*0.75,0.001)*2),IF(H$3&lt;=700,CEILING((H$3*0.001)^2*0.88,0.001)*2,CEILING((H$3*0.001)^2*0.75,0.001)*2)))))</f>
        <v>0.63400000000000001</v>
      </c>
      <c r="L22" s="40">
        <f>AB22*IF(B4="Сталь",0,VLOOKUP(B4,$AF$9:$AI$54,4,0))</f>
        <v>0</v>
      </c>
      <c r="M22" s="40">
        <f>AC22*IF(E4="Сталь",0,VLOOKUP(E4,$AF$9:$AI$54,4,0))</f>
        <v>0</v>
      </c>
      <c r="N22" s="40">
        <f>AD22*IF(H4="Сталь",0,VLOOKUP(H4,$AF$9:$AI$54,4,0))</f>
        <v>0</v>
      </c>
      <c r="O22" s="40">
        <f t="shared" si="0"/>
        <v>1.3</v>
      </c>
      <c r="P22" s="40">
        <f t="shared" si="1"/>
        <v>0.5</v>
      </c>
      <c r="Q22" s="40">
        <f t="shared" si="2"/>
        <v>7.6080000000000005</v>
      </c>
      <c r="R22" s="40">
        <f>IF(B4="Сталь",0,L22*VLOOKUP(B4,$AF$9:$AJ$54,5,0))</f>
        <v>0</v>
      </c>
      <c r="S22" s="40">
        <f>IF(E4="Сталь",0,M22*VLOOKUP(E4,$AF$9:$AJ$54,5,0))</f>
        <v>0</v>
      </c>
      <c r="T22" s="40">
        <f t="shared" si="15"/>
        <v>0</v>
      </c>
      <c r="U22" s="40">
        <f t="shared" si="5"/>
        <v>35.126000000000005</v>
      </c>
      <c r="V22" s="40">
        <f t="shared" si="6"/>
        <v>17.686</v>
      </c>
      <c r="W22" s="40">
        <f t="shared" si="3"/>
        <v>401.322</v>
      </c>
      <c r="Y22" s="119">
        <f t="shared" si="16"/>
        <v>0</v>
      </c>
      <c r="Z22" s="98">
        <f t="shared" si="17"/>
        <v>0</v>
      </c>
      <c r="AB22" s="100">
        <f>IF(B3="Диаметр",0,IF(E3="Диаметр",CEILING(IF(B3&lt;&gt;E22,(B3*0.001*3.14)*D22/3*0.001+((B3+E22)/2*0.001*3.14)*SQRT(((B3-E22)/2*0.001)^2+(D22/3*0.001)^2)+(E22*0.001*3.14)*D22/3*0.001,(B3*0.001*3.14)*D22*0.001),0.01),IF(H3="Диаметр",CEILING((B3*0.001*3.14)*D22*0.001,0.01),CEILING((B3*0.001*3.14)*D22*0.001,0.01))))+Коэффициенты!AT13</f>
        <v>0.48</v>
      </c>
      <c r="AC22" s="100">
        <f>IF(B3="Диаметр",0,IF(E3="Диаметр",0,IF(H3="Диаметр",CEILING(IF(E22 &lt;&gt;F22,(E3*3.14*0.001)*D22/3*0.001+((E3+F22)/2*3.14*0.001)*SQRT(((E3-B3)/2*0.001)^2+(D22/3*0.001)^2)+(F22*3.14*0.001)*D22/3*0.001,(E3*3.14*0.001)*D22/3*0.001+((B3+E3)/2*3.14*0.001)*SQRT(((E3-B3)/2*0.001)^2+(D22/3*0.001)^2)),0.01),CEILING((E3*3.14*0.001)*D22*0.001,0.01))))+Коэффициенты!AU13</f>
        <v>1.17</v>
      </c>
      <c r="AD22" s="100">
        <f>IF(B3="Диаметр",0,IF(E3="Диаметр",0,IF(H3="Диаметр",0,CEILING(IF(E22&lt;&gt;F22,(H3*0.001*3.14)*D22/3*0.001+((E3+H3)/2*0.001*3.14)*SQRT(((H3-E3)/2*0.001)^2+(D22/3*0.001)^2)+(F22*0.001*3.14)*D22/3*0.001,(H3*0.001*3.14)*D22/3*0.001+((E3+H3)/2*0.001*3.14)*SQRT(((H3-E3)/2*0.001)^2+(D22/3*0.001)^2)),0.01))))+Коэффициенты!AV13</f>
        <v>0</v>
      </c>
      <c r="AF22" s="71" t="str">
        <f>$AG$22&amp;" "&amp;AH22</f>
        <v>304 0,5</v>
      </c>
      <c r="AG22" s="221">
        <v>304</v>
      </c>
      <c r="AH22" s="51">
        <v>0.5</v>
      </c>
      <c r="AI22" s="71">
        <v>4</v>
      </c>
      <c r="AJ22" s="71">
        <v>230</v>
      </c>
      <c r="AK22" s="8"/>
      <c r="AL22" s="8"/>
      <c r="AM22" s="8"/>
      <c r="AN22" s="4"/>
      <c r="AO22" s="104" t="s">
        <v>92</v>
      </c>
      <c r="AP22" s="4"/>
      <c r="AU22" s="7"/>
      <c r="BH22" s="87"/>
      <c r="BI22" s="87"/>
      <c r="BJ22" s="5"/>
    </row>
    <row r="23" spans="2:62" ht="30" customHeight="1" x14ac:dyDescent="0.25">
      <c r="B23" s="37"/>
      <c r="C23" s="44" t="s">
        <v>83</v>
      </c>
      <c r="D23" s="45">
        <f>IF(B3="Диаметр",0,B3+150)</f>
        <v>650</v>
      </c>
      <c r="E23" s="201" t="s">
        <v>27</v>
      </c>
      <c r="F23" s="202"/>
      <c r="H23" s="117">
        <f>IF(B$3="Диаметр",0,IF(B$4="Сталь",0,IF(E$3="Диаметр",CEILING(R23+100,0.01)*IF(R23&gt;0,1,0),IF(E$4="Сталь",0,IF(H$3="Диаметр",IF(Y$3="Коаксиал",CEILING(R23+S23+100,0.01)*IF(R23&gt;0,IF(S23&gt;0,1,0)),CEILING(R23+S23+U23+V23+W23+100,0.01)*IF(R23&gt;0,IF(S23&gt;0,1,0))),IF(H$4="Сталь",0,CEILING(R23+S23+T23+U23+V23+W23+100,0.01)*IF(R23&gt;0,IF(S23&gt;0,IF(T23&gt;0,1,0)))))))))*2.223*IF(OR(AND(B3&lt;&gt;"Диаметр",B3&gt;1000,E3="Диаметр",H3="Диаметр"),AND(E3&lt;&gt;"Диаметр",E3&gt;1000,H3="Диаметр"),AND(H3&lt;&gt;"Диаметр",H3&gt;1000)),1.03,1.01)</f>
        <v>0</v>
      </c>
      <c r="I23" s="69">
        <f>IF(Y3="Коаксиал",0,IF(B3="Диаметр",0,IF(E3="Диаметр",0,IF(H3="Диаметр",CEILING(((E3/2*0.001)^2-(B3/2*0.001)^2)*3.14*D23*0.001,0.001),CEILING(((H3/2*0.001)^2-(E3/2*0.001)^2)*3.14*D23*0.001,0.001)))))</f>
        <v>5.7000000000000002E-2</v>
      </c>
      <c r="J23" s="69">
        <f>IF(Y3="Коаксиал",0,IF(B3="Диаметр",0,IF(E3="Диаметр",0,IF(H3="Диаметр",CEILING(((E3/2*0.001)^2-(B3/2*0.001)^2)*3.14*0.05,0.001)*2,CEILING(((H3/2*0.001)^2-(E3/2*0.001)^2)*3.14*0.05,0.001)*2))))</f>
        <v>0.01</v>
      </c>
      <c r="K23" s="40">
        <f>IF(Y$3="Коаксиал",0,IF(B$3="Диаметр",0,IF(E$3="Диаметр",0,IF(H$3="Диаметр",IF(E$3&lt;=700,CEILING((E$3*0.001)^2*0.88,0.001)*2,CEILING((E$3*0.001)^2*0.75,0.001)*2),IF(H$3&lt;=700,CEILING((H$3*0.001)^2*0.88,0.001)*2,CEILING((H$3*0.001)^2*0.75,0.001)*2)))))</f>
        <v>0.63400000000000001</v>
      </c>
      <c r="L23" s="40">
        <f>AB23*IF(B4="Сталь",0,VLOOKUP(B4,$AF$9:$AI$54,4,0))</f>
        <v>0</v>
      </c>
      <c r="M23" s="40">
        <f>AC23*IF(E4="Сталь",0,VLOOKUP(E4,$AF$9:$AI$54,4,0))</f>
        <v>0</v>
      </c>
      <c r="N23" s="40">
        <f>AD23*IF(H4="Сталь",0,VLOOKUP(H4,$AF$9:$AI$54,4,0))</f>
        <v>0</v>
      </c>
      <c r="O23" s="40">
        <f t="shared" si="0"/>
        <v>5.7</v>
      </c>
      <c r="P23" s="40">
        <f t="shared" si="1"/>
        <v>1</v>
      </c>
      <c r="Q23" s="40">
        <f t="shared" si="2"/>
        <v>7.6080000000000005</v>
      </c>
      <c r="R23" s="40">
        <f>IF(B4="Сталь",0,L23*VLOOKUP(B4,$AF$9:$AJ$54,5,0))</f>
        <v>0</v>
      </c>
      <c r="S23" s="40">
        <f>IF(E4="Сталь",0,M23*VLOOKUP(E4,$AF$9:$AJ$54,5,0))</f>
        <v>0</v>
      </c>
      <c r="T23" s="40">
        <f t="shared" si="15"/>
        <v>0</v>
      </c>
      <c r="U23" s="40">
        <f t="shared" si="5"/>
        <v>154.01400000000001</v>
      </c>
      <c r="V23" s="40">
        <f t="shared" si="6"/>
        <v>35.372</v>
      </c>
      <c r="W23" s="40">
        <f t="shared" si="3"/>
        <v>401.322</v>
      </c>
      <c r="Y23" s="119">
        <f t="shared" si="16"/>
        <v>0</v>
      </c>
      <c r="Z23" s="98">
        <f t="shared" si="17"/>
        <v>0</v>
      </c>
      <c r="AB23" s="100">
        <f>IF(B3="Диаметр",0,CEILING((B3*3.14*0.001)*D23*0.001+(B3/2*0.001)^2*3.14,0.01))</f>
        <v>1.22</v>
      </c>
      <c r="AC23" s="100">
        <f>IF(B3="Диаметр",0,IF(E3="Диаметр",0,CEILING((E3*3.14*0.001)*D23*0.001,0.01)))</f>
        <v>1.23</v>
      </c>
      <c r="AD23" s="100">
        <f>IF(B3="Диаметр",0,IF(E3="Диаметр",0,IF(H3="Диаметр",0,CEILING((H3*3.14*0.001)*D23*0.001,0.01))))</f>
        <v>0</v>
      </c>
      <c r="AF23" s="71" t="str">
        <f>$AG$22&amp;" "&amp;AH23</f>
        <v>304 0,8</v>
      </c>
      <c r="AG23" s="222"/>
      <c r="AH23" s="51">
        <v>0.8</v>
      </c>
      <c r="AI23" s="71">
        <v>6.4</v>
      </c>
      <c r="AJ23" s="103">
        <v>229</v>
      </c>
      <c r="AK23" s="8"/>
      <c r="AL23" s="8"/>
      <c r="AM23" s="8"/>
      <c r="AN23" s="4"/>
      <c r="AO23" s="104" t="s">
        <v>5</v>
      </c>
      <c r="AP23" s="4"/>
      <c r="BG23" s="86"/>
      <c r="BH23" s="87"/>
      <c r="BI23" s="87"/>
      <c r="BJ23" s="5"/>
    </row>
    <row r="24" spans="2:62" ht="30" customHeight="1" x14ac:dyDescent="0.25">
      <c r="B24" s="37"/>
      <c r="C24" s="38" t="s">
        <v>23</v>
      </c>
      <c r="D24" s="39">
        <f>IF(B3="Диаметр",0,300)</f>
        <v>300</v>
      </c>
      <c r="E24" s="201" t="s">
        <v>27</v>
      </c>
      <c r="F24" s="202"/>
      <c r="H24" s="117">
        <f>IF(B$3="Диаметр",0,IF(B$4="Сталь",0,IF(E$3="Диаметр",CEILING(R24,0.01)*IF(R24&gt;0,1,0),IF(E$4="Сталь",0,IF(H$3="Диаметр",IF(Y$3="Коаксиал",CEILING(R24+S24,0.01)*IF(R24&gt;0,IF(S24&gt;0,1,0)),CEILING(R24+S24+U24+V24+W24,0.01)*IF(R24&gt;0,IF(S24&gt;0,1,0))),IF(H$4="Сталь",0,CEILING(R24+S24+T24+U24+V24+W24,0.01)*IF(R24&gt;0,IF(S24&gt;0,IF(T24&gt;0,1,0)))))))))*2.223*IF(OR(AND(B3&lt;&gt;"Диаметр",B3&gt;1000,E3="Диаметр",H3="Диаметр"),AND(E3&lt;&gt;"Диаметр",E3&gt;1000,H3="Диаметр"),AND(H3&lt;&gt;"Диаметр",H3&gt;1000)),1.03,1.01)</f>
        <v>0</v>
      </c>
      <c r="I24" s="69">
        <f>IF(Y3="Коаксиал",0,IF(B3="Диаметр",0,IF(E3="Диаметр",0,IF(H3="Диаметр",CEILING(((E3/2*0.001)^2+((E3/2*0.001)^2+(E3/2*0.001*B3/2*0.001)+(B3/2*0.001)^2)*1/3-( B3/2*0.001)^2*2)*3.14* D24/3*0.001,0.001),0))))</f>
        <v>1.3000000000000001E-2</v>
      </c>
      <c r="J24" s="69">
        <f>IF(Y3="Коаксиал",0,IF(B3="Диаметр",0,IF(E3="Диаметр",0,IF(H3="Диаметр",CEILING(((E3/2*0.001)^2-(B3/2*0.001)^2)*3.14*0.05,0.001)*1,0))))</f>
        <v>5.0000000000000001E-3</v>
      </c>
      <c r="K24" s="40">
        <f>IF(Y$3="Коаксиал",0,IF(B$3="Диаметр",0,IF(E$3="Диаметр",0,IF(H$3="Диаметр",IF(E$3&lt;=700,CEILING((E$3*0.001)^2*0.88,0.001),CEILING((E$3*0.001)^2*0.75,0.001)),IF(H$3&lt;=700,CEILING((H$3*0.001)^2*0.88,0.001),CEILING((H$3*0.001)^2*0.75,0.001))))))</f>
        <v>0.317</v>
      </c>
      <c r="L24" s="40">
        <f>AB24*IF(B4="Сталь",0,VLOOKUP(B4,$AF$9:$AI$54,4,0))</f>
        <v>0</v>
      </c>
      <c r="M24" s="40">
        <f>AC24*IF(E4="Сталь",0,VLOOKUP(E4,$AF$9:$AI$54,4,0))</f>
        <v>0</v>
      </c>
      <c r="N24" s="40">
        <f>AD24*IF(H4="Сталь",0,VLOOKUP(H4,$AF$9:$AI$54,4,0))</f>
        <v>0</v>
      </c>
      <c r="O24" s="40">
        <f t="shared" si="0"/>
        <v>1.3</v>
      </c>
      <c r="P24" s="40">
        <f t="shared" si="1"/>
        <v>0.5</v>
      </c>
      <c r="Q24" s="40">
        <f t="shared" si="2"/>
        <v>3.8040000000000003</v>
      </c>
      <c r="R24" s="40">
        <f>IF(B4="Сталь",0,L24*VLOOKUP(B4,$AF$9:$AJ$54,5,0))</f>
        <v>0</v>
      </c>
      <c r="S24" s="40">
        <f>IF(E4="Сталь",0,M24*VLOOKUP(E4,$AF$9:$AJ$54,5,0))</f>
        <v>0</v>
      </c>
      <c r="T24" s="40">
        <f t="shared" si="15"/>
        <v>0</v>
      </c>
      <c r="U24" s="40">
        <f t="shared" si="5"/>
        <v>35.126000000000005</v>
      </c>
      <c r="V24" s="40">
        <f t="shared" si="6"/>
        <v>17.686</v>
      </c>
      <c r="W24" s="40">
        <f t="shared" si="3"/>
        <v>200.661</v>
      </c>
      <c r="Y24" s="119">
        <f t="shared" si="16"/>
        <v>0</v>
      </c>
      <c r="Z24" s="98">
        <f t="shared" si="17"/>
        <v>0</v>
      </c>
      <c r="AB24" s="100">
        <f>IF(B3="Диаметр",0,IF(E3="Диаметр",CEILING((B3*0.001*3.14)*D24*2/3*0.001+((B3+200)/2*0.001*3.14)*SQRT(((B3+200)/2*0.001)^2+(100*0.001)^2),0.01),IF(H3="Диаметр",IF(Y3="Коаксиал",0,CEILING((B3*3.14*0.001)*D24*2/3*0.001,0.01)),0)))*Коэффициенты!AT14</f>
        <v>0.42240000000000005</v>
      </c>
      <c r="AC24" s="100">
        <f>IF(B3="Диаметр",0,IF(E3="Диаметр",0,IF(H3="Диаметр",IF(Y3="Коаксиал",0,CEILING((E3*0.001*3.14)*D24/3*0.001+((B3+E3)/2*0.001*3.14)*SQRT((Y4*0.001)^2+(D24/3*0.001)^2)+((E3+200)/2*0.001*3.14)*SQRT(((E3+200)/2*0.001)^2+(100*0.001)^2),0.01)),0)))*Коэффициенты!AU14</f>
        <v>1.728</v>
      </c>
      <c r="AD24" s="100">
        <v>0</v>
      </c>
      <c r="AF24" s="103" t="str">
        <f t="shared" ref="AF24:AF26" si="18">$AG$22&amp;" "&amp;AH24</f>
        <v>304 1</v>
      </c>
      <c r="AG24" s="222"/>
      <c r="AH24" s="51">
        <v>1</v>
      </c>
      <c r="AI24" s="103">
        <v>8</v>
      </c>
      <c r="AJ24" s="103">
        <v>231</v>
      </c>
      <c r="AK24" s="8"/>
      <c r="AL24" s="8"/>
      <c r="AM24" s="8"/>
      <c r="AN24" s="4"/>
      <c r="AO24" s="104" t="s">
        <v>6</v>
      </c>
      <c r="AP24" s="4"/>
      <c r="BG24" s="86"/>
      <c r="BH24" s="87"/>
      <c r="BI24" s="87"/>
      <c r="BJ24" s="5"/>
    </row>
    <row r="25" spans="2:62" ht="30" customHeight="1" x14ac:dyDescent="0.25">
      <c r="B25" s="37"/>
      <c r="C25" s="38" t="s">
        <v>24</v>
      </c>
      <c r="D25" s="39">
        <f>IF(B3="Диаметр",0,300)</f>
        <v>300</v>
      </c>
      <c r="E25" s="201" t="s">
        <v>27</v>
      </c>
      <c r="F25" s="202"/>
      <c r="H25" s="117">
        <f>IF(B$3="Диаметр",0,IF(B$4="Сталь",0,IF(E$3="Диаметр",CEILING(R25,0.01)*IF(R25&gt;0,1,0),IF(E$4="Сталь",0,IF(H$3="Диаметр",IF(Y$3="Коаксиал",CEILING(R25+S25,0.01)*IF(R25&gt;0,IF(S25&gt;0,1,0)),CEILING(R25+S25+U25+V25+W25,0.01)*IF(R25&gt;0,IF(S25&gt;0,1,0))),IF(H$4="Сталь",0,CEILING(R25+S25+T25+U25+V25+W25,0.01)*IF(R25&gt;0,IF(S25&gt;0,IF(T25&gt;0,1,0)))))))))*2.223*IF(OR(AND(B3&lt;&gt;"Диаметр",B3&gt;1000,E3="Диаметр",H3="Диаметр"),AND(E3&lt;&gt;"Диаметр",E3&gt;1000,H3="Диаметр"),AND(H3&lt;&gt;"Диаметр",H3&gt;1000)),1.03,1.01)</f>
        <v>0</v>
      </c>
      <c r="I25" s="69">
        <f>IF(Y3="Коаксиал",0,IF(B3="Диаметр",0,IF(E3="Диаметр",0,IF(H3="Диаметр",CEILING(((E3/2*0.001)^2+((E3/2*0.001)^2+(E3/2*0.001*B3/2*0.001)+(B3/2*0.001)^2)*1/3-( B3/2*0.001)^2*2)*3.14* D25/3*0.001,0.001),0))))</f>
        <v>1.3000000000000001E-2</v>
      </c>
      <c r="J25" s="69">
        <f>IF(Y3="Коаксиал",0,IF(B3="Диаметр",0,IF(E3="Диаметр",0,IF(H3="Диаметр",CEILING(((E3/2*0.001)^2-(B3/2*0.001)^2)*3.14*0.05,0.001)*1,0))))</f>
        <v>5.0000000000000001E-3</v>
      </c>
      <c r="K25" s="40">
        <f>IF(Y$3="Коаксиал",0,IF(B$3="Диаметр",0,IF(E$3="Диаметр",0,IF(H$3="Диаметр",IF(E$3&lt;=700,CEILING((E$3*0.001)^2*0.88,0.001),CEILING((E$3*0.001)^2*0.75,0.001)),IF(H$3&lt;=700,CEILING((H$3*0.001)^2*0.88,0.001),CEILING((H$3*0.001)^2*0.75,0.001))))))</f>
        <v>0.317</v>
      </c>
      <c r="L25" s="40">
        <f>AB25*IF(B4="Сталь",0,VLOOKUP(B4,$AF$9:$AI$54,4,0))</f>
        <v>0</v>
      </c>
      <c r="M25" s="40">
        <f>AC25*IF(E4="Сталь",0,VLOOKUP(E4,$AF$9:$AI$54,4,0))</f>
        <v>0</v>
      </c>
      <c r="N25" s="40">
        <f>AD25*IF(H4="Сталь",0,VLOOKUP(H4,$AF$9:$AI$54,4,0))</f>
        <v>0</v>
      </c>
      <c r="O25" s="40">
        <f t="shared" si="0"/>
        <v>1.3</v>
      </c>
      <c r="P25" s="40">
        <f t="shared" si="1"/>
        <v>0.5</v>
      </c>
      <c r="Q25" s="40">
        <f t="shared" si="2"/>
        <v>3.8040000000000003</v>
      </c>
      <c r="R25" s="40">
        <f>IF(B4="Сталь",0,L25*VLOOKUP(B4,$AF$9:$AJ$54,5,0))</f>
        <v>0</v>
      </c>
      <c r="S25" s="40">
        <f>IF(E4="Сталь",0,M25*VLOOKUP(E4,$AF$9:$AJ$54,5,0))</f>
        <v>0</v>
      </c>
      <c r="T25" s="40">
        <f t="shared" si="15"/>
        <v>0</v>
      </c>
      <c r="U25" s="40">
        <f t="shared" si="5"/>
        <v>35.126000000000005</v>
      </c>
      <c r="V25" s="40">
        <f t="shared" si="6"/>
        <v>17.686</v>
      </c>
      <c r="W25" s="40">
        <f t="shared" si="3"/>
        <v>200.661</v>
      </c>
      <c r="Y25" s="119">
        <f t="shared" si="16"/>
        <v>0</v>
      </c>
      <c r="Z25" s="98">
        <f t="shared" si="17"/>
        <v>0</v>
      </c>
      <c r="AB25" s="100">
        <f>IF(B3="Диаметр",0,IF(E3="Диаметр",CEILING((B3*0.001*3.14)*D25*2/3*0.001+((B3+200)/2*0.001*3.14)*SQRT(((B3+200)/2*0.001)^2+(100*0.001)^2)+((B3+300)*0.001*3.14)*D25*0.001,0.01),IF(H3="Диаметр",IF(Y3="Коаксиал",0,CEILING((B3*3.14*0.001)*D25*2/3*0.001,0.01)),0)))*Коэффициенты!AT15</f>
        <v>0.42240000000000005</v>
      </c>
      <c r="AC25" s="100">
        <f>IF(B3="Диаметр",0,IF(E3="Диаметр",0,IF(H3="Диаметр",IF(Y3="Коаксиал",0,CEILING((E3*0.001*3.14)*D25/3*0.001+((B3+E3)/2*0.001*3.14)*SQRT((Y4*0.001)^2+(D25/3*0.001)^2)+((E3+200)/2*0.001*3.14)*SQRT(((E3+200)/2*0.001)^2+(100*0.001)^2)+((E3+300)*0.001*3.14)*D25*0.001,0.01)),0)))*Коэффициенты!AU15</f>
        <v>3.36</v>
      </c>
      <c r="AD25" s="100">
        <v>0</v>
      </c>
      <c r="AF25" s="103" t="str">
        <f t="shared" si="18"/>
        <v>304 1,2</v>
      </c>
      <c r="AG25" s="222"/>
      <c r="AH25" s="51">
        <v>1.2</v>
      </c>
      <c r="AI25" s="103">
        <v>9.6</v>
      </c>
      <c r="AJ25" s="103">
        <v>210</v>
      </c>
      <c r="AK25" s="8"/>
      <c r="AL25" s="8"/>
      <c r="AM25" s="8"/>
      <c r="AN25" s="4"/>
      <c r="AO25" s="104" t="s">
        <v>64</v>
      </c>
      <c r="AP25" s="4"/>
      <c r="BF25" s="88"/>
      <c r="BG25" s="23"/>
      <c r="BH25" s="87"/>
      <c r="BI25" s="87"/>
      <c r="BJ25" s="5"/>
    </row>
    <row r="26" spans="2:62" ht="30" customHeight="1" x14ac:dyDescent="0.25">
      <c r="B26" s="37"/>
      <c r="C26" s="44" t="s">
        <v>25</v>
      </c>
      <c r="D26" s="113" t="str">
        <f>IF(B3="Диаметр","Lmax.","Lmax.")</f>
        <v>Lmax.</v>
      </c>
      <c r="E26" s="201" t="s">
        <v>27</v>
      </c>
      <c r="F26" s="202"/>
      <c r="H26" s="117">
        <f>IF(B$3="Диаметр",0,IF(B$4="Сталь",0,IF(E$3="Диаметр",CEILING(R26,0.01)*IF(R26&gt;0,1,0),IF(E$4="Сталь",0,IF(H$3="Диаметр",IF(Y$3="Коаксиал",CEILING(R26+S26,0.01)*IF(R26&gt;0,IF(S26&gt;0,1,0)),CEILING(R26+S26+U26+V26+W26,0.01)*IF(R26&gt;0,IF(S26&gt;0,1,0))),IF(H$4="Сталь",0,CEILING(R26+S26+T26+U26+V26+W26,0.01)*IF(R26&gt;0,IF(S26&gt;0,IF(T26&gt;0,1,0)))))))))*2.223*IF(OR(AND(B3&lt;&gt;"Диаметр",B3&gt;1000,E3="Диаметр",H3="Диаметр"),AND(E3&lt;&gt;"Диаметр",E3&gt;1000,H3="Диаметр"),AND(H3&lt;&gt;"Диаметр",H3&gt;1000)),1.03,1.01)</f>
        <v>0</v>
      </c>
      <c r="I26" s="69" t="e">
        <f>IF(Y$3="Коаксиал",0,IF(B$3="Диаметр",0,IF(E$3="Диаметр",0,IF(H$3="Диаметр",CEILING(((E$3/2*0.001)^2-(B$3/2*0.001)^2)*3.14*(D26+100)*0.001,0.001),CEILING(((H$3/2*0.001)^2-(E$3/2*0.001)^2)*3.14*(D26+100)*0.001,0.001)))))</f>
        <v>#VALUE!</v>
      </c>
      <c r="J26" s="69">
        <f>IF(Y$3="Коаксиал",0,IF(B$3="Диаметр",0,IF(E$3="Диаметр",0,IF(H$3="Диаметр",CEILING(((E$3/2*0.001)^2-(B$3/2*0.001)^2)*3.14*0.05,0.001)*2,CEILING(((H20/2*0.001)^2-(E$3/2*0.001)^2)*3.14*0.05,0.001)*2))))</f>
        <v>0.01</v>
      </c>
      <c r="K26" s="40">
        <f>IF(Y$3="Коаксиал",0,IF(B$3="Диаметр",0,IF(E$3="Диаметр",0,IF(H$3="Диаметр",IF(E$3&lt;=700,CEILING((E$3*0.001)^2*0.88,0.001)*2,CEILING((E$3*0.001)^2*0.75,0.001)*2),IF(H$3&lt;=700,CEILING((H$3*0.001)^2*0.88,0.001)*2,CEILING((H$3*0.001)^2*0.75,0.001)*2)))))</f>
        <v>0.63400000000000001</v>
      </c>
      <c r="L26" s="40" t="e">
        <f>AB26*IF(B$4="Сталь",0,VLOOKUP(B$4,$AF$9:$AI$54,4,0))</f>
        <v>#VALUE!</v>
      </c>
      <c r="M26" s="40" t="e">
        <f>AC26*IF(E$4="Сталь",0,VLOOKUP(E$4,$AF$9:$AI$54,4,0))</f>
        <v>#VALUE!</v>
      </c>
      <c r="N26" s="40">
        <f>AD26*IF(H$4="Сталь",0,VLOOKUP(H$4,$AF$9:$AI$54,4,0))</f>
        <v>0</v>
      </c>
      <c r="O26" s="40" t="e">
        <f t="shared" ref="O26" si="19">I26*100</f>
        <v>#VALUE!</v>
      </c>
      <c r="P26" s="40">
        <f t="shared" ref="P26" si="20">J26*100</f>
        <v>1</v>
      </c>
      <c r="Q26" s="40">
        <f t="shared" si="2"/>
        <v>7.6080000000000005</v>
      </c>
      <c r="R26" s="40">
        <f>IF(B$4="Сталь",0,L26*VLOOKUP(B$4,$AF$9:$AJ$54,5,0))</f>
        <v>0</v>
      </c>
      <c r="S26" s="40">
        <f>IF(E$4="Сталь",0,M26*VLOOKUP(E$4,$AF$9:$AJ$54,5,0))</f>
        <v>0</v>
      </c>
      <c r="T26" s="40">
        <f t="shared" si="15"/>
        <v>0</v>
      </c>
      <c r="U26" s="40" t="e">
        <f t="shared" si="5"/>
        <v>#VALUE!</v>
      </c>
      <c r="V26" s="40">
        <f t="shared" si="6"/>
        <v>35.372</v>
      </c>
      <c r="W26" s="40">
        <f t="shared" si="3"/>
        <v>401.322</v>
      </c>
      <c r="Y26" s="119">
        <f t="shared" si="16"/>
        <v>0</v>
      </c>
      <c r="Z26" s="98" t="e">
        <f t="shared" si="17"/>
        <v>#VALUE!</v>
      </c>
      <c r="AB26" s="100" t="e">
        <f>IF(B$3="Диаметр",0,CEILING((B$3*3.14*0.001)*(D26+100)*0.001,0.01))</f>
        <v>#VALUE!</v>
      </c>
      <c r="AC26" s="100" t="e">
        <f>IF(B$3="Диаметр",0,IF(E$3="Диаметр",0,CEILING((E$3*3.14*0.001)*(D26+100)*0.001,0.01)))</f>
        <v>#VALUE!</v>
      </c>
      <c r="AD26" s="100">
        <f>IF(B$3="Диаметр",0,IF(E$3="Диаметр",0,IF(H$3="Диаметр",0,CEILING((H$3*3.14*0.001)*(D26+100)*0.001,0.01))))</f>
        <v>0</v>
      </c>
      <c r="AF26" s="103" t="str">
        <f t="shared" si="18"/>
        <v>304 1,5</v>
      </c>
      <c r="AG26" s="222"/>
      <c r="AH26" s="51">
        <v>1.5</v>
      </c>
      <c r="AI26" s="103">
        <v>12</v>
      </c>
      <c r="AJ26" s="103">
        <v>235</v>
      </c>
      <c r="AK26" s="8"/>
      <c r="AL26" s="8"/>
      <c r="AM26" s="8"/>
      <c r="AN26" s="4"/>
      <c r="AO26" s="104" t="s">
        <v>101</v>
      </c>
      <c r="AP26" s="4"/>
      <c r="BF26" s="88"/>
      <c r="BG26" s="23"/>
      <c r="BH26" s="87"/>
      <c r="BI26" s="87"/>
      <c r="BJ26" s="5"/>
    </row>
    <row r="27" spans="2:62" ht="30" customHeight="1" x14ac:dyDescent="0.25">
      <c r="Z27" s="120"/>
      <c r="AF27" s="103" t="str">
        <f>$AG$22&amp;" "&amp;AH27</f>
        <v>304 2</v>
      </c>
      <c r="AG27" s="222"/>
      <c r="AH27" s="51">
        <v>2</v>
      </c>
      <c r="AI27" s="103">
        <v>16</v>
      </c>
      <c r="AJ27" s="103">
        <v>215</v>
      </c>
      <c r="AK27" s="8"/>
      <c r="AL27" s="8"/>
      <c r="AM27" s="8"/>
      <c r="AN27" s="4"/>
      <c r="AO27" s="104" t="s">
        <v>93</v>
      </c>
      <c r="AP27" s="4"/>
      <c r="BH27" s="87"/>
      <c r="BI27" s="87"/>
      <c r="BJ27" s="5"/>
    </row>
    <row r="28" spans="2:62" ht="30" customHeight="1" x14ac:dyDescent="0.3">
      <c r="B28" s="192" t="s">
        <v>12</v>
      </c>
      <c r="C28" s="194"/>
      <c r="D28" s="35" t="s">
        <v>78</v>
      </c>
      <c r="E28" s="192" t="s">
        <v>14</v>
      </c>
      <c r="F28" s="194"/>
      <c r="G28" s="10" t="s">
        <v>77</v>
      </c>
      <c r="H28" s="78" t="s">
        <v>32</v>
      </c>
      <c r="I28" s="4"/>
      <c r="J28" s="4"/>
      <c r="K28" s="4"/>
      <c r="M28" s="4"/>
      <c r="N28" s="4"/>
      <c r="O28" s="4"/>
      <c r="P28" s="4"/>
      <c r="Q28" s="4"/>
      <c r="R28" s="4"/>
      <c r="S28" s="79" t="s">
        <v>79</v>
      </c>
      <c r="T28" s="80"/>
      <c r="U28" s="81"/>
      <c r="V28" s="4"/>
      <c r="W28" s="4"/>
      <c r="Y28" s="121" t="s">
        <v>16</v>
      </c>
      <c r="Z28" s="3" t="s">
        <v>17</v>
      </c>
      <c r="AB28" s="77" t="s">
        <v>76</v>
      </c>
      <c r="AF28" s="71" t="str">
        <f>$AG$22&amp;" "&amp;AH28</f>
        <v>304 4</v>
      </c>
      <c r="AG28" s="223"/>
      <c r="AH28" s="51">
        <v>4</v>
      </c>
      <c r="AI28" s="71">
        <v>32</v>
      </c>
      <c r="AJ28" s="103">
        <v>220</v>
      </c>
      <c r="AK28" s="8"/>
      <c r="AL28" s="8"/>
      <c r="AM28" s="8"/>
      <c r="AN28" s="4"/>
      <c r="AO28" s="104" t="s">
        <v>94</v>
      </c>
      <c r="AP28" s="4"/>
      <c r="AT28" s="25"/>
      <c r="BH28" s="87"/>
      <c r="BI28" s="87"/>
      <c r="BJ28" s="5"/>
    </row>
    <row r="29" spans="2:62" ht="30" customHeight="1" x14ac:dyDescent="0.25">
      <c r="B29" s="29"/>
      <c r="C29" s="58" t="s">
        <v>40</v>
      </c>
      <c r="D29" s="59" t="s">
        <v>27</v>
      </c>
      <c r="E29" s="60">
        <f>E20</f>
        <v>700</v>
      </c>
      <c r="F29" s="41">
        <f>E29</f>
        <v>700</v>
      </c>
      <c r="G29" s="33" t="s">
        <v>0</v>
      </c>
      <c r="H29" s="118">
        <f>CEILING(S29*2.223,0.01)</f>
        <v>0</v>
      </c>
      <c r="I29" s="9"/>
      <c r="J29" s="9"/>
      <c r="K29" s="9"/>
      <c r="M29" s="9"/>
      <c r="N29" s="9"/>
      <c r="O29" s="9"/>
      <c r="P29" s="9"/>
      <c r="Q29" s="9"/>
      <c r="R29" s="9"/>
      <c r="S29" s="92">
        <f>AB29*IF(G29="Сталь",0,VLOOKUP(G29,AF9:AJ56,4,0)*VLOOKUP(G29,AF9:AJ56,5,0))</f>
        <v>0</v>
      </c>
      <c r="T29" s="82"/>
      <c r="U29" s="83"/>
      <c r="V29" s="84"/>
      <c r="W29" s="84"/>
      <c r="Y29" s="122">
        <f>IF(AA$4="Покраска",0,IF(B$3="Диаметр",0,CEILING((E29*0.001*F29*0.001-IF(B3="Диаметр",0,IF(E3="Диаметр",(B3/2*0.001)^2*3.14,IF(H3="Диаметр",(E3/2*0.001)^2*3.14,(H3/2*0.001)^2*3.14))))*AA$4*2,5)))</f>
        <v>0</v>
      </c>
      <c r="Z29" s="99">
        <f>IF(G29="Сталь",0,CEILING((E29*0.001*F29*0.001-IF(B3="Диаметр",0,IF(E3="Диаметр",(B3/2*0.001)^2*3.14,IF(H3="Диаметр",(E3/2*0.001)^2*3.14,(H3/2*0.001)^2*3.14))))*VLOOKUP(G29,AF9:AJ56,4,0),0.05))*IF(AA$3="Сделать толще",1,AA$3)</f>
        <v>0</v>
      </c>
      <c r="AB29" s="96">
        <f>CEILING(E29*0.001*F29*0.001,0.01)</f>
        <v>0.49</v>
      </c>
      <c r="AF29" s="104" t="str">
        <f t="shared" ref="AF29:AF34" si="21">$AG$29&amp;" "&amp;AH29</f>
        <v>304(з) 0,5</v>
      </c>
      <c r="AG29" s="224" t="s">
        <v>89</v>
      </c>
      <c r="AH29" s="52">
        <v>0.5</v>
      </c>
      <c r="AI29" s="104">
        <v>4</v>
      </c>
      <c r="AJ29" s="104">
        <v>250</v>
      </c>
      <c r="AK29" s="8"/>
      <c r="AL29" s="8"/>
      <c r="AM29" s="8"/>
      <c r="AN29" s="4"/>
      <c r="AO29" s="104" t="s">
        <v>95</v>
      </c>
      <c r="AP29" s="4"/>
      <c r="AU29" s="7"/>
      <c r="BH29" s="87"/>
      <c r="BI29" s="87"/>
      <c r="BJ29" s="5"/>
    </row>
    <row r="30" spans="2:62" ht="30" customHeight="1" x14ac:dyDescent="0.25">
      <c r="B30" s="2"/>
      <c r="C30" s="61" t="s">
        <v>41</v>
      </c>
      <c r="D30" s="62" t="s">
        <v>85</v>
      </c>
      <c r="E30" s="63" t="str">
        <f>VLOOKUP(D30,AF59:AG88,2,0)</f>
        <v>Y</v>
      </c>
      <c r="F30" s="63" t="str">
        <f>VLOOKUP(E30,AG59:AH88,2,0)</f>
        <v>Z</v>
      </c>
      <c r="G30" s="33" t="s">
        <v>0</v>
      </c>
      <c r="H30" s="118">
        <f>CEILING(S30*2.223,0.01)</f>
        <v>0</v>
      </c>
      <c r="I30" s="9"/>
      <c r="J30" s="9"/>
      <c r="K30" s="9"/>
      <c r="M30" s="9"/>
      <c r="N30" s="9"/>
      <c r="O30" s="9"/>
      <c r="P30" s="9"/>
      <c r="Q30" s="9"/>
      <c r="R30" s="9"/>
      <c r="S30" s="92">
        <f>AB30*IF(G30="Сталь",0,VLOOKUP(G30,AF9:AJ56,4,0)*VLOOKUP(G30,AF9:AJ56,5,0))</f>
        <v>0</v>
      </c>
      <c r="T30" s="82"/>
      <c r="U30" s="83"/>
      <c r="V30" s="84"/>
      <c r="W30" s="84"/>
      <c r="Y30" s="122">
        <f>IF(AA$4="Покраска",0,IF(B$3="Диаметр",0,CEILING(AB30*AA$4,5)))</f>
        <v>0</v>
      </c>
      <c r="Z30" s="99">
        <f>IF(G30="Сталь",0,CEILING(AB30*VLOOKUP(G30,AF9:AJ56,4,0),0.05))*IF(AA$3="Сделать толще",1,AA$3)</f>
        <v>0</v>
      </c>
      <c r="AB30" s="96">
        <f>CEILING(SUM((D30:F30),50)*0.105*0.001*2,0.01)</f>
        <v>0.02</v>
      </c>
      <c r="AF30" s="104" t="str">
        <f t="shared" si="21"/>
        <v>304(з) 0,8</v>
      </c>
      <c r="AG30" s="225"/>
      <c r="AH30" s="52">
        <v>0.8</v>
      </c>
      <c r="AI30" s="104">
        <v>6.4</v>
      </c>
      <c r="AJ30" s="104">
        <v>237</v>
      </c>
      <c r="AK30" s="8"/>
      <c r="AL30" s="8"/>
      <c r="AM30" s="8"/>
      <c r="AN30" s="4"/>
      <c r="AO30" s="104" t="s">
        <v>96</v>
      </c>
      <c r="AP30" s="4"/>
      <c r="BA30" s="85"/>
      <c r="BC30" s="85"/>
      <c r="BG30" s="86"/>
      <c r="BH30" s="87"/>
      <c r="BI30" s="87"/>
      <c r="BJ30" s="5"/>
    </row>
    <row r="31" spans="2:62" ht="30" customHeight="1" x14ac:dyDescent="0.25">
      <c r="B31" s="2"/>
      <c r="C31" s="64" t="s">
        <v>42</v>
      </c>
      <c r="D31" s="59" t="s">
        <v>27</v>
      </c>
      <c r="E31" s="65">
        <v>50</v>
      </c>
      <c r="F31" s="39">
        <v>80</v>
      </c>
      <c r="G31" s="34" t="s">
        <v>0</v>
      </c>
      <c r="H31" s="118">
        <f>IF(G35="Сталь",0,CEILING(S31+H35,0.01))</f>
        <v>0</v>
      </c>
      <c r="I31" s="9"/>
      <c r="J31" s="9"/>
      <c r="K31" s="9"/>
      <c r="M31" s="9"/>
      <c r="N31" s="9"/>
      <c r="O31" s="9"/>
      <c r="P31" s="9"/>
      <c r="Q31" s="9"/>
      <c r="R31" s="9"/>
      <c r="S31" s="92">
        <f>AB31*IF(G31="Сталь",0,VLOOKUP(G31,AF9:AJ56,4,0)*VLOOKUP(G31,AF9:AJ56,5,0))</f>
        <v>0</v>
      </c>
      <c r="T31" s="82"/>
      <c r="U31" s="83"/>
      <c r="V31" s="84"/>
      <c r="W31" s="84"/>
      <c r="Y31" s="122">
        <f>IF(AA$4="Покраска",0,IF(B$3="Диаметр",0,CEILING(AB31*AA$4,5)))</f>
        <v>0</v>
      </c>
      <c r="Z31" s="99">
        <f>IF(G31="Сталь",0,CEILING(AB31*VLOOKUP(G31,AF9:AJ56,4,0),0.05))*IF(AA$3="Сделать толще",1,AA$3)</f>
        <v>0</v>
      </c>
      <c r="AB31" s="96">
        <f>SUM(Коэффициенты!AT13:AV13)</f>
        <v>0.78</v>
      </c>
      <c r="AF31" s="104" t="str">
        <f t="shared" si="21"/>
        <v>304(з) 1</v>
      </c>
      <c r="AG31" s="225"/>
      <c r="AH31" s="52">
        <v>1</v>
      </c>
      <c r="AI31" s="104">
        <v>8</v>
      </c>
      <c r="AJ31" s="104">
        <v>250</v>
      </c>
      <c r="AK31" s="8"/>
      <c r="AL31" s="8"/>
      <c r="AM31" s="8"/>
      <c r="AN31" s="4"/>
      <c r="AO31" s="104" t="s">
        <v>102</v>
      </c>
      <c r="AP31" s="4"/>
      <c r="BA31" s="85"/>
      <c r="BC31" s="85"/>
      <c r="BG31" s="86"/>
      <c r="BH31" s="87"/>
      <c r="BI31" s="87"/>
      <c r="BJ31" s="5"/>
    </row>
    <row r="32" spans="2:62" ht="30" customHeight="1" x14ac:dyDescent="0.25">
      <c r="B32" s="2"/>
      <c r="C32" s="64" t="s">
        <v>152</v>
      </c>
      <c r="D32" s="59" t="s">
        <v>27</v>
      </c>
      <c r="E32" s="212">
        <v>80</v>
      </c>
      <c r="F32" s="213"/>
      <c r="G32" s="34" t="s">
        <v>0</v>
      </c>
      <c r="H32" s="118">
        <f>IF(G35="Сталь",0,CEILING(IF(C32="Хомут",S32*2.223+H35,IF(C32="Хомут-растяжка",S32*2.223+(H35*3),0)),0.01))</f>
        <v>0</v>
      </c>
      <c r="I32" s="9"/>
      <c r="J32" s="9"/>
      <c r="K32" s="9"/>
      <c r="M32" s="9"/>
      <c r="N32" s="9"/>
      <c r="O32" s="9"/>
      <c r="P32" s="9"/>
      <c r="Q32" s="9"/>
      <c r="R32" s="9"/>
      <c r="S32" s="92">
        <f>AB32*IF(G32="Сталь",0,VLOOKUP(G32,AF9:AJ56,4,0)*VLOOKUP(G32,AF9:AJ56,5,0))</f>
        <v>0</v>
      </c>
      <c r="T32" s="82"/>
      <c r="U32" s="83"/>
      <c r="V32" s="84"/>
      <c r="W32" s="84"/>
      <c r="Y32" s="122">
        <f>IF(AA$4="Покраска",0,IF(B$3="Диаметр",0,CEILING(AB32*AA$4,5)))</f>
        <v>0</v>
      </c>
      <c r="Z32" s="99">
        <f>IF(G32="Сталь",0,CEILING(AB32*VLOOKUP(G32,AF9:AJ56,4,0),0.05))*IF(AA$3="Сделать толще",1,AA$3)</f>
        <v>0</v>
      </c>
      <c r="AB32" s="96">
        <f>CEILING(IF(B3="Диаметр",0,IF(E3="Диаметр",(B3*3.14*0.001+0.008)*E32*0.001,IF(H3="Диаметр",(E3*3.14*0.001+0.008)*E32*0.001,(H3*3.14*0.001+0.008)*E32*0.001))),0.01)</f>
        <v>0.16</v>
      </c>
      <c r="AF32" s="104" t="str">
        <f t="shared" si="21"/>
        <v>304(з) 1,2</v>
      </c>
      <c r="AG32" s="225"/>
      <c r="AH32" s="52">
        <v>1.2</v>
      </c>
      <c r="AI32" s="104">
        <v>9.6</v>
      </c>
      <c r="AJ32" s="104">
        <v>230</v>
      </c>
      <c r="AK32" s="8"/>
      <c r="AL32" s="8"/>
      <c r="AN32" s="4"/>
      <c r="AO32" s="104" t="s">
        <v>163</v>
      </c>
      <c r="AP32" s="4"/>
      <c r="BA32" s="85"/>
      <c r="BC32" s="85"/>
      <c r="BG32" s="86"/>
      <c r="BI32" s="5"/>
      <c r="BJ32" s="5"/>
    </row>
    <row r="33" spans="2:62" ht="30" customHeight="1" x14ac:dyDescent="0.25">
      <c r="B33" s="2"/>
      <c r="C33" s="66" t="s">
        <v>84</v>
      </c>
      <c r="D33" s="59" t="s">
        <v>27</v>
      </c>
      <c r="E33" s="42">
        <v>60</v>
      </c>
      <c r="F33" s="43">
        <f>F29</f>
        <v>700</v>
      </c>
      <c r="G33" s="34" t="s">
        <v>0</v>
      </c>
      <c r="H33" s="118">
        <f>IF(G33="Сталь",0,CEILING(S33,0.01))</f>
        <v>0</v>
      </c>
      <c r="I33" s="9"/>
      <c r="J33" s="9"/>
      <c r="K33" s="9"/>
      <c r="M33" s="9"/>
      <c r="N33" s="9"/>
      <c r="O33" s="9"/>
      <c r="P33" s="9"/>
      <c r="Q33" s="9"/>
      <c r="R33" s="9"/>
      <c r="S33" s="92">
        <f>(AB33-AB32)*IF(G33="Сталь",0,VLOOKUP(G33,AF9:AJ56,4,0)*VLOOKUP(G33,AF9:AJ56,5,0))*2.223+AB32*IF(G33="Сталь",0,VLOOKUP(G33,AF9:AJ56,4,0)*VLOOKUP(G33,AF9:AJ56,5,0))*3</f>
        <v>0</v>
      </c>
      <c r="T33" s="82"/>
      <c r="U33" s="83"/>
      <c r="V33" s="84"/>
      <c r="W33" s="84"/>
      <c r="Y33" s="122">
        <f>IF(G32="Сталь",0,IF(AA$4="Покраска",0,IF(B$3="Диаметр",0,CEILING(AB33*AA$4,5)))+Y32)</f>
        <v>0</v>
      </c>
      <c r="Z33" s="99">
        <f>IF(G32="Сталь",0,IF(G33="Сталь",0,CEILING(AB33*VLOOKUP(G33,AF9:AJ56,4,0),0.05))*IF(AA$3="Сделать толще",1,AA$3)+Z32)</f>
        <v>0</v>
      </c>
      <c r="AB33" s="96">
        <f>CEILING(IF(B3="Диаметр",0,IF(E3="Диаметр",B3*3.14*0.001*0.07+(F33*(E33+B3/2))*0.000001+(80*(E33+B3/2))*0.000001*2+F33*80*0.000001-((B3/2*0.001)^2*3.14)/2,IF(H3="Диаметр",E3*3.14*0.001*0.07+(F33*(E33+E3/2))*0.000001+(80*(E33+E3/2))*0.000001*2+F33*80*0.000001-((E3/2*0.001)^2*3.14)/2,H3*3.14*0.001*0.07+(F33*(E33+H3/2))*0.000001+(80*(E33+H3/2))*0.000001*2+F33*80*0.000001-((H3/2*0.001)^2*3.14)/2))),0.01)+CEILING(IF(B3="Диаметр",0,IF(E3="Диаметр",(B3*3.14*0.001+0.008)*E32*0.001,IF(H3="Диаметр",(E3*3.14*0.001+0.008)*E32*0.001,(H3*3.14*0.001+0.008)*E32*0.001))),0.01)</f>
        <v>0.52</v>
      </c>
      <c r="AF33" s="104" t="str">
        <f t="shared" si="21"/>
        <v>304(з) 1,5</v>
      </c>
      <c r="AG33" s="225"/>
      <c r="AH33" s="52">
        <v>1.5</v>
      </c>
      <c r="AI33" s="104">
        <v>12</v>
      </c>
      <c r="AJ33" s="104">
        <v>246</v>
      </c>
      <c r="AK33" s="8"/>
      <c r="AL33" s="8"/>
      <c r="AN33" s="4"/>
      <c r="AO33" s="104" t="s">
        <v>103</v>
      </c>
      <c r="AP33" s="4"/>
      <c r="BA33" s="85"/>
      <c r="BC33" s="85"/>
      <c r="BG33" s="86"/>
      <c r="BI33" s="5"/>
      <c r="BJ33" s="5"/>
    </row>
    <row r="34" spans="2:62" ht="30" customHeight="1" x14ac:dyDescent="0.25">
      <c r="B34" s="2"/>
      <c r="C34" s="66" t="s">
        <v>43</v>
      </c>
      <c r="D34" s="47" t="s">
        <v>27</v>
      </c>
      <c r="E34" s="47">
        <f>E13</f>
        <v>500</v>
      </c>
      <c r="F34" s="39">
        <f>IF(B3="Диаметр",0,IF(E3="Диаметр",E34+100,IF(H3="Диаметр",F13+100,F13+100)))</f>
        <v>700</v>
      </c>
      <c r="G34" s="34" t="s">
        <v>0</v>
      </c>
      <c r="H34" s="118">
        <f>CEILING(S34*2,0.01)</f>
        <v>0</v>
      </c>
      <c r="I34" s="9"/>
      <c r="J34" s="9"/>
      <c r="K34" s="9"/>
      <c r="M34" s="9"/>
      <c r="N34" s="9"/>
      <c r="O34" s="9"/>
      <c r="P34" s="9"/>
      <c r="Q34" s="9"/>
      <c r="R34" s="9"/>
      <c r="S34" s="92">
        <f>AB34*IF(G34="Сталь",0,VLOOKUP(G34,AF9:AJ56,4,0)*VLOOKUP(G34,AF9:AJ56,5,0))</f>
        <v>0</v>
      </c>
      <c r="T34" s="82"/>
      <c r="U34" s="83"/>
      <c r="V34" s="84"/>
      <c r="W34" s="84"/>
      <c r="Y34" s="122">
        <f>IF(AA$4="Покраска",0,IF(B$3="Диаметр",0,CEILING(AB34*AA$4*2,5)))</f>
        <v>0</v>
      </c>
      <c r="Z34" s="99">
        <f>IF(G34="Сталь",0,CEILING(AB34*VLOOKUP(G34,AF9:AJ56,4,0),0.05))*IF(AA$3="Сделать толще",1,AA$3)</f>
        <v>0</v>
      </c>
      <c r="AB34" s="96">
        <f>CEILING(((F34*0.001)*(F34*0.001)),0.01)*2</f>
        <v>0.98</v>
      </c>
      <c r="AF34" s="104" t="str">
        <f t="shared" si="21"/>
        <v>304(з) 2</v>
      </c>
      <c r="AG34" s="226"/>
      <c r="AH34" s="52">
        <v>2</v>
      </c>
      <c r="AI34" s="104">
        <v>16</v>
      </c>
      <c r="AJ34" s="104">
        <v>250</v>
      </c>
      <c r="AK34" s="4"/>
      <c r="AL34" s="4"/>
      <c r="AO34" s="104" t="s">
        <v>164</v>
      </c>
      <c r="AP34" s="4"/>
      <c r="BF34" s="88"/>
      <c r="BG34" s="23"/>
      <c r="BI34" s="5"/>
      <c r="BJ34" s="5"/>
    </row>
    <row r="35" spans="2:62" ht="30" customHeight="1" x14ac:dyDescent="0.3">
      <c r="B35" s="2"/>
      <c r="C35" s="66" t="s">
        <v>186</v>
      </c>
      <c r="D35" s="186" t="s">
        <v>27</v>
      </c>
      <c r="E35" s="201" t="s">
        <v>27</v>
      </c>
      <c r="F35" s="202"/>
      <c r="G35" s="33" t="s">
        <v>0</v>
      </c>
      <c r="H35" s="118">
        <f>CEILING(S35*2.223,0.01)</f>
        <v>0</v>
      </c>
      <c r="I35" s="9"/>
      <c r="J35" s="9"/>
      <c r="K35" s="9"/>
      <c r="M35" s="9"/>
      <c r="N35" s="9"/>
      <c r="O35" s="9"/>
      <c r="P35" s="9"/>
      <c r="Q35" s="9"/>
      <c r="R35" s="9"/>
      <c r="S35" s="92">
        <f>AB35*IF(G35="Сталь",0,VLOOKUP(G35,AF9:AJ56,4,0)*VLOOKUP(G35,AF9:AJ56,5,0))</f>
        <v>0</v>
      </c>
      <c r="T35" s="82"/>
      <c r="U35" s="83"/>
      <c r="V35" s="84"/>
      <c r="W35" s="84"/>
      <c r="Y35" s="122">
        <f>IF(AA$4="Покраска",0,IF(B$3="Диаметр",0,CEILING(AB35*AA$4*2,5)))</f>
        <v>0</v>
      </c>
      <c r="Z35" s="99">
        <f>IF(G35="Сталь",0,CEILING(AB35*VLOOKUP(G35,AF9:AJ56,4,0),0.05))*IF(AA$3="Сделать толще",1,AA$3)</f>
        <v>0</v>
      </c>
      <c r="AB35" s="187">
        <f>CEILING(IF(B3="Диаметр",0,0.1*0.05*2),0.02)</f>
        <v>0.02</v>
      </c>
      <c r="AF35" s="105" t="str">
        <f>$AG$35&amp;" "&amp;AH35</f>
        <v>444 0,5</v>
      </c>
      <c r="AG35" s="206">
        <v>444</v>
      </c>
      <c r="AH35" s="53">
        <v>0.5</v>
      </c>
      <c r="AI35" s="105">
        <v>4</v>
      </c>
      <c r="AJ35" s="105" t="s">
        <v>191</v>
      </c>
      <c r="AK35" s="4"/>
      <c r="AL35" s="4"/>
      <c r="AN35" s="4"/>
      <c r="AO35" s="104" t="s">
        <v>65</v>
      </c>
      <c r="AP35" s="4"/>
      <c r="AT35" s="24"/>
      <c r="BI35" s="5"/>
      <c r="BJ35" s="5"/>
    </row>
    <row r="36" spans="2:62" ht="30" customHeight="1" x14ac:dyDescent="0.25">
      <c r="B36" s="2"/>
      <c r="C36" s="66" t="s">
        <v>44</v>
      </c>
      <c r="D36" s="59">
        <f>E20</f>
        <v>700</v>
      </c>
      <c r="E36" s="67">
        <f>D36</f>
        <v>700</v>
      </c>
      <c r="F36" s="67">
        <f>IF(E34=0,0,500)</f>
        <v>500</v>
      </c>
      <c r="G36" s="33" t="s">
        <v>0</v>
      </c>
      <c r="H36" s="118">
        <f>CEILING(S36*2.223,0.01)</f>
        <v>0</v>
      </c>
      <c r="I36" s="9"/>
      <c r="J36" s="9"/>
      <c r="K36" s="9"/>
      <c r="M36" s="9"/>
      <c r="N36" s="9"/>
      <c r="O36" s="9"/>
      <c r="P36" s="9"/>
      <c r="Q36" s="9"/>
      <c r="R36" s="9"/>
      <c r="S36" s="92">
        <f>AB36*IF(G36="Сталь",0,VLOOKUP(G36,AF9:AJ56,4,0)*VLOOKUP(G36,AF9:AJ56,5,0))</f>
        <v>0</v>
      </c>
      <c r="T36" s="82"/>
      <c r="U36" s="83"/>
      <c r="V36" s="84"/>
      <c r="W36" s="84"/>
      <c r="Y36" s="122">
        <f>IF(AA$4="Покраска",0,IF(B$3="Диаметр",0,CEILING(AB36*AA$4,5)))</f>
        <v>0</v>
      </c>
      <c r="Z36" s="99">
        <f>IF(G36="Сталь",0,CEILING(AB36*VLOOKUP(G36,AF9:AJ56,4,0),0.05))*IF(AA$3="Сделать толще",1,AA$3)</f>
        <v>0</v>
      </c>
      <c r="AB36" s="96">
        <f>CEILING((D36*2+E36*2+F36*4)*0.105*0.001+(0.05*0.05*4),0.01)</f>
        <v>0.52</v>
      </c>
      <c r="AF36" s="105" t="str">
        <f>$AG$35&amp;" "&amp;AH36</f>
        <v>444 0,8</v>
      </c>
      <c r="AG36" s="207"/>
      <c r="AH36" s="53">
        <v>0.8</v>
      </c>
      <c r="AI36" s="105">
        <v>6.4</v>
      </c>
      <c r="AJ36" s="105" t="s">
        <v>191</v>
      </c>
      <c r="AK36" s="4"/>
      <c r="AL36" s="4"/>
      <c r="AN36" s="4"/>
      <c r="AO36" s="104" t="s">
        <v>66</v>
      </c>
      <c r="AP36" s="4"/>
      <c r="AU36" s="7"/>
      <c r="BI36" s="5"/>
      <c r="BJ36" s="5"/>
    </row>
    <row r="37" spans="2:62" ht="30" customHeight="1" x14ac:dyDescent="0.25">
      <c r="B37" s="2"/>
      <c r="C37" s="64" t="s">
        <v>81</v>
      </c>
      <c r="D37" s="93" t="s">
        <v>27</v>
      </c>
      <c r="E37" s="201" t="s">
        <v>27</v>
      </c>
      <c r="F37" s="202"/>
      <c r="G37" s="34" t="s">
        <v>0</v>
      </c>
      <c r="H37" s="118">
        <f>CEILING(S37*6,0.01)</f>
        <v>0</v>
      </c>
      <c r="I37" s="4"/>
      <c r="J37" s="17"/>
      <c r="K37" s="4"/>
      <c r="L37" s="4"/>
      <c r="M37" s="4"/>
      <c r="N37" s="4"/>
      <c r="O37" s="4"/>
      <c r="P37" s="4"/>
      <c r="Q37" s="4"/>
      <c r="R37" s="4"/>
      <c r="S37" s="92">
        <f>AB37*IF(G37="Сталь",0,VLOOKUP(G37,AF9:AJ56,4,0)*VLOOKUP(G37,AF9:AJ56,5,0))</f>
        <v>0</v>
      </c>
      <c r="Y37" s="122">
        <f>IF(AA$4="Покраска",0,IF(B$3="Диаметр",0,CEILING(AB37*AA$4,5)))</f>
        <v>0</v>
      </c>
      <c r="Z37" s="99">
        <f>IF(G37="Сталь",0,CEILING(AB37*VLOOKUP(G37,AF17:AJ61,4,0),0.05))*IF(AA$3="Сделать толще",1,AA$3)</f>
        <v>0</v>
      </c>
      <c r="AB37" s="96">
        <f>CEILING(IF(B3="Диаметр",0,((B3*3.14*0.05*0.001)+(B3*0.001)*(B3*0.001))),0.01)</f>
        <v>0.33</v>
      </c>
      <c r="AF37" s="105" t="str">
        <f>$AG$35&amp;" "&amp;AH37</f>
        <v>444 1</v>
      </c>
      <c r="AG37" s="208"/>
      <c r="AH37" s="53">
        <v>1</v>
      </c>
      <c r="AI37" s="105">
        <v>8</v>
      </c>
      <c r="AJ37" s="105" t="s">
        <v>191</v>
      </c>
      <c r="AK37" s="4"/>
      <c r="AL37" s="4"/>
      <c r="AO37" s="104" t="s">
        <v>67</v>
      </c>
      <c r="AP37" s="4"/>
      <c r="BA37" s="85"/>
      <c r="BC37" s="85"/>
      <c r="BG37" s="86"/>
    </row>
    <row r="38" spans="2:62" ht="30" customHeight="1" x14ac:dyDescent="0.25">
      <c r="J38" s="17"/>
      <c r="AF38" s="106" t="str">
        <f t="shared" ref="AF38:AF43" si="22">$AG$38&amp;" "&amp;AH38</f>
        <v>321 0,5</v>
      </c>
      <c r="AG38" s="195">
        <v>321</v>
      </c>
      <c r="AH38" s="54">
        <v>0.5</v>
      </c>
      <c r="AI38" s="106">
        <v>4</v>
      </c>
      <c r="AJ38" s="106">
        <v>281</v>
      </c>
      <c r="AO38" s="104" t="s">
        <v>154</v>
      </c>
      <c r="BA38" s="85"/>
      <c r="BC38" s="85"/>
      <c r="BG38" s="86"/>
    </row>
    <row r="39" spans="2:62" ht="30" customHeight="1" x14ac:dyDescent="0.25">
      <c r="J39" s="17"/>
      <c r="AF39" s="106" t="str">
        <f t="shared" si="22"/>
        <v>321 0,8</v>
      </c>
      <c r="AG39" s="196"/>
      <c r="AH39" s="54">
        <v>0.8</v>
      </c>
      <c r="AI39" s="106">
        <v>6.4</v>
      </c>
      <c r="AJ39" s="106">
        <v>255</v>
      </c>
      <c r="AO39" s="104" t="s">
        <v>100</v>
      </c>
      <c r="BA39" s="85"/>
      <c r="BC39" s="85"/>
      <c r="BG39" s="86"/>
    </row>
    <row r="40" spans="2:62" ht="30" customHeight="1" x14ac:dyDescent="0.25">
      <c r="J40" s="32"/>
      <c r="AF40" s="115" t="str">
        <f t="shared" si="22"/>
        <v>321 1</v>
      </c>
      <c r="AG40" s="196"/>
      <c r="AH40" s="54">
        <v>1</v>
      </c>
      <c r="AI40" s="115">
        <v>8</v>
      </c>
      <c r="AJ40" s="115">
        <v>250</v>
      </c>
      <c r="AO40" s="104" t="s">
        <v>153</v>
      </c>
      <c r="BA40" s="85"/>
      <c r="BC40" s="85"/>
      <c r="BG40" s="86"/>
    </row>
    <row r="41" spans="2:62" ht="30" customHeight="1" x14ac:dyDescent="0.25">
      <c r="J41" s="17"/>
      <c r="AF41" s="115" t="str">
        <f t="shared" si="22"/>
        <v>321 1,2</v>
      </c>
      <c r="AG41" s="196"/>
      <c r="AH41" s="54">
        <v>1.2</v>
      </c>
      <c r="AI41" s="115">
        <v>9.6</v>
      </c>
      <c r="AJ41" s="115">
        <v>255</v>
      </c>
      <c r="AO41" s="104" t="s">
        <v>59</v>
      </c>
      <c r="BF41" s="88"/>
      <c r="BG41" s="23"/>
    </row>
    <row r="42" spans="2:62" ht="30" customHeight="1" x14ac:dyDescent="0.25">
      <c r="J42" s="17"/>
      <c r="AF42" s="115" t="str">
        <f t="shared" si="22"/>
        <v>321 1,5</v>
      </c>
      <c r="AG42" s="196"/>
      <c r="AH42" s="54">
        <v>1.5</v>
      </c>
      <c r="AI42" s="115">
        <v>12</v>
      </c>
      <c r="AJ42" s="115">
        <v>255</v>
      </c>
      <c r="AO42" s="104" t="s">
        <v>61</v>
      </c>
      <c r="BF42" s="88"/>
      <c r="BG42" s="23"/>
    </row>
    <row r="43" spans="2:62" ht="30" customHeight="1" x14ac:dyDescent="0.25">
      <c r="J43" s="17"/>
      <c r="AF43" s="106" t="str">
        <f t="shared" si="22"/>
        <v>321 2</v>
      </c>
      <c r="AG43" s="197"/>
      <c r="AH43" s="54">
        <v>2</v>
      </c>
      <c r="AI43" s="106">
        <v>16</v>
      </c>
      <c r="AJ43" s="106">
        <v>245</v>
      </c>
      <c r="AO43" s="104" t="s">
        <v>68</v>
      </c>
      <c r="AT43" s="21"/>
    </row>
    <row r="44" spans="2:62" ht="30" customHeight="1" x14ac:dyDescent="0.25">
      <c r="H44" s="4"/>
      <c r="I44" s="18"/>
      <c r="J44" s="4"/>
      <c r="AF44" s="108" t="str">
        <f>$AG$44&amp;" "&amp;AH44</f>
        <v>310 0,8</v>
      </c>
      <c r="AG44" s="211">
        <v>310</v>
      </c>
      <c r="AH44" s="55">
        <v>0.8</v>
      </c>
      <c r="AI44" s="108">
        <v>6.4</v>
      </c>
      <c r="AJ44" s="108" t="s">
        <v>191</v>
      </c>
      <c r="AO44" s="104" t="s">
        <v>104</v>
      </c>
      <c r="AU44" s="7"/>
    </row>
    <row r="45" spans="2:62" ht="30" customHeight="1" x14ac:dyDescent="0.25">
      <c r="H45" s="4"/>
      <c r="I45" s="18"/>
      <c r="J45" s="4"/>
      <c r="AF45" s="108" t="str">
        <f>$AG$44&amp;" "&amp;AH45</f>
        <v>310 1</v>
      </c>
      <c r="AG45" s="211"/>
      <c r="AH45" s="55">
        <v>1</v>
      </c>
      <c r="AI45" s="108">
        <v>8</v>
      </c>
      <c r="AJ45" s="108" t="s">
        <v>191</v>
      </c>
      <c r="AO45" s="104" t="s">
        <v>155</v>
      </c>
      <c r="BA45" s="85"/>
      <c r="BC45" s="85"/>
      <c r="BG45" s="86"/>
    </row>
    <row r="46" spans="2:62" ht="30" customHeight="1" x14ac:dyDescent="0.25">
      <c r="H46" s="4"/>
      <c r="I46" s="18"/>
      <c r="J46" s="4"/>
      <c r="AF46" s="107" t="str">
        <f t="shared" ref="AF46:AF51" si="23">$AG$46&amp;" "&amp;AH46</f>
        <v>316 0,5</v>
      </c>
      <c r="AG46" s="198">
        <v>316</v>
      </c>
      <c r="AH46" s="56">
        <v>0.5</v>
      </c>
      <c r="AI46" s="107">
        <v>4</v>
      </c>
      <c r="AJ46" s="107">
        <v>315</v>
      </c>
      <c r="AO46" s="104" t="s">
        <v>97</v>
      </c>
      <c r="BA46" s="85"/>
      <c r="BC46" s="85"/>
      <c r="BG46" s="86"/>
    </row>
    <row r="47" spans="2:62" ht="30" customHeight="1" x14ac:dyDescent="0.25">
      <c r="H47" s="4"/>
      <c r="I47" s="18"/>
      <c r="J47" s="4"/>
      <c r="AF47" s="107" t="str">
        <f t="shared" si="23"/>
        <v>316 0,8</v>
      </c>
      <c r="AG47" s="199"/>
      <c r="AH47" s="107">
        <v>0.8</v>
      </c>
      <c r="AI47" s="107">
        <v>6.4</v>
      </c>
      <c r="AJ47" s="107">
        <v>282</v>
      </c>
      <c r="AO47" s="104" t="s">
        <v>69</v>
      </c>
      <c r="BA47" s="85"/>
      <c r="BC47" s="85"/>
      <c r="BG47" s="86"/>
    </row>
    <row r="48" spans="2:62" ht="30" customHeight="1" x14ac:dyDescent="0.25">
      <c r="H48" s="4"/>
      <c r="I48" s="18"/>
      <c r="J48" s="4"/>
      <c r="AF48" s="107" t="str">
        <f t="shared" si="23"/>
        <v>316 1</v>
      </c>
      <c r="AG48" s="199"/>
      <c r="AH48" s="56">
        <v>1</v>
      </c>
      <c r="AI48" s="107">
        <v>8</v>
      </c>
      <c r="AJ48" s="107">
        <v>315</v>
      </c>
      <c r="AO48" s="104" t="s">
        <v>70</v>
      </c>
      <c r="BF48" s="88"/>
      <c r="BG48" s="23"/>
    </row>
    <row r="49" spans="8:59" ht="30" customHeight="1" x14ac:dyDescent="0.25">
      <c r="H49" s="4"/>
      <c r="I49" s="18"/>
      <c r="J49" s="4"/>
      <c r="AF49" s="107" t="str">
        <f t="shared" si="23"/>
        <v>316 1,2</v>
      </c>
      <c r="AG49" s="199"/>
      <c r="AH49" s="56">
        <v>1.2</v>
      </c>
      <c r="AI49" s="107">
        <v>9.6</v>
      </c>
      <c r="AJ49" s="107">
        <v>320</v>
      </c>
      <c r="AO49" s="104" t="s">
        <v>71</v>
      </c>
      <c r="BF49" s="88"/>
      <c r="BG49" s="23"/>
    </row>
    <row r="50" spans="8:59" ht="30" customHeight="1" x14ac:dyDescent="0.3">
      <c r="H50" s="4"/>
      <c r="I50" s="18"/>
      <c r="J50" s="4"/>
      <c r="AF50" s="107" t="str">
        <f t="shared" si="23"/>
        <v>316 1,5</v>
      </c>
      <c r="AG50" s="199"/>
      <c r="AH50" s="56">
        <v>1.5</v>
      </c>
      <c r="AI50" s="107">
        <v>12</v>
      </c>
      <c r="AJ50" s="107">
        <v>323</v>
      </c>
      <c r="AO50" s="104" t="s">
        <v>58</v>
      </c>
      <c r="AT50" s="24"/>
    </row>
    <row r="51" spans="8:59" ht="30" customHeight="1" x14ac:dyDescent="0.25">
      <c r="H51" s="4"/>
      <c r="I51" s="4"/>
      <c r="J51" s="4"/>
      <c r="AF51" s="107" t="str">
        <f t="shared" si="23"/>
        <v>316 2</v>
      </c>
      <c r="AG51" s="200"/>
      <c r="AH51" s="56">
        <v>2</v>
      </c>
      <c r="AI51" s="107">
        <v>16</v>
      </c>
      <c r="AJ51" s="107">
        <v>312</v>
      </c>
      <c r="AO51" s="104" t="s">
        <v>57</v>
      </c>
      <c r="AU51" s="7"/>
      <c r="AV51" s="5"/>
    </row>
    <row r="52" spans="8:59" ht="30" customHeight="1" x14ac:dyDescent="0.25">
      <c r="AF52" s="57" t="str">
        <f>$AG$52&amp;" "&amp;AH52</f>
        <v>Ст3 3</v>
      </c>
      <c r="AG52" s="203" t="s">
        <v>90</v>
      </c>
      <c r="AH52" s="110">
        <v>3</v>
      </c>
      <c r="AI52" s="57">
        <v>24</v>
      </c>
      <c r="AJ52" s="57">
        <v>44.5</v>
      </c>
      <c r="AO52" s="107" t="s">
        <v>0</v>
      </c>
      <c r="AV52" s="5"/>
      <c r="BC52" s="85"/>
      <c r="BG52" s="86"/>
    </row>
    <row r="53" spans="8:59" ht="30" customHeight="1" x14ac:dyDescent="0.25">
      <c r="AF53" s="167" t="str">
        <f>$AG$52&amp;" "&amp;AH53</f>
        <v>Ст3 5</v>
      </c>
      <c r="AG53" s="204"/>
      <c r="AH53" s="110">
        <v>5</v>
      </c>
      <c r="AI53" s="167">
        <v>40</v>
      </c>
      <c r="AJ53" s="167">
        <v>44.1</v>
      </c>
      <c r="AO53" s="105" t="s">
        <v>4</v>
      </c>
      <c r="AV53" s="5"/>
      <c r="BC53" s="85"/>
      <c r="BG53" s="86"/>
    </row>
    <row r="54" spans="8:59" ht="30" customHeight="1" x14ac:dyDescent="0.25">
      <c r="AF54" s="57" t="str">
        <f>$AG$52&amp;" "&amp;AH54</f>
        <v>Ст3 8</v>
      </c>
      <c r="AG54" s="205"/>
      <c r="AH54" s="110">
        <v>8</v>
      </c>
      <c r="AI54" s="57">
        <v>64</v>
      </c>
      <c r="AJ54" s="57">
        <v>46.8</v>
      </c>
      <c r="AO54" s="105" t="s">
        <v>75</v>
      </c>
      <c r="AV54" s="5"/>
      <c r="BA54" s="85"/>
      <c r="BC54" s="85"/>
      <c r="BG54" s="86"/>
    </row>
    <row r="55" spans="8:59" ht="30" customHeight="1" x14ac:dyDescent="0.25">
      <c r="AF55" s="168" t="str">
        <f>$AG$55&amp;" "&amp;AH55</f>
        <v>Ст5 5</v>
      </c>
      <c r="AG55" s="188" t="s">
        <v>190</v>
      </c>
      <c r="AH55" s="110">
        <v>5</v>
      </c>
      <c r="AI55" s="168">
        <v>39.299999999999997</v>
      </c>
      <c r="AJ55" s="168" t="s">
        <v>191</v>
      </c>
      <c r="AO55" s="105" t="s">
        <v>187</v>
      </c>
      <c r="BF55" s="88"/>
      <c r="BG55" s="23"/>
    </row>
    <row r="56" spans="8:59" ht="30" customHeight="1" x14ac:dyDescent="0.25">
      <c r="AF56" s="111" t="str">
        <f>AG56&amp;" "&amp;AH56</f>
        <v>Чернина 1,5</v>
      </c>
      <c r="AG56" s="111" t="s">
        <v>33</v>
      </c>
      <c r="AH56" s="111">
        <v>1.5</v>
      </c>
      <c r="AI56" s="111">
        <v>12</v>
      </c>
      <c r="AJ56" s="111">
        <v>52.75</v>
      </c>
      <c r="AO56" s="105" t="s">
        <v>74</v>
      </c>
      <c r="BF56" s="88"/>
      <c r="BG56" s="23"/>
    </row>
    <row r="57" spans="8:59" ht="30" customHeight="1" x14ac:dyDescent="0.25">
      <c r="AF57" s="4"/>
      <c r="AG57" s="4"/>
      <c r="AH57" s="4"/>
      <c r="AI57" s="4"/>
      <c r="AJ57" s="4"/>
      <c r="AO57" s="105" t="s">
        <v>5</v>
      </c>
    </row>
    <row r="58" spans="8:59" ht="30" customHeight="1" x14ac:dyDescent="0.25">
      <c r="AF58" s="192" t="s">
        <v>88</v>
      </c>
      <c r="AG58" s="193"/>
      <c r="AH58" s="194"/>
      <c r="AI58" s="4"/>
      <c r="AJ58" s="4"/>
      <c r="AO58" s="105" t="s">
        <v>95</v>
      </c>
    </row>
    <row r="59" spans="8:59" ht="30" customHeight="1" x14ac:dyDescent="0.25">
      <c r="AF59" s="101" t="s">
        <v>85</v>
      </c>
      <c r="AG59" s="101" t="s">
        <v>86</v>
      </c>
      <c r="AH59" s="101" t="s">
        <v>87</v>
      </c>
      <c r="AI59" s="4"/>
      <c r="AJ59" s="4"/>
      <c r="AO59" s="105" t="s">
        <v>102</v>
      </c>
    </row>
    <row r="60" spans="8:59" ht="30" customHeight="1" x14ac:dyDescent="0.25">
      <c r="AF60" s="97">
        <v>400</v>
      </c>
      <c r="AG60" s="97">
        <v>285</v>
      </c>
      <c r="AH60" s="97">
        <v>285</v>
      </c>
      <c r="AI60" s="4"/>
      <c r="AJ60" s="4"/>
      <c r="AO60" s="105" t="s">
        <v>163</v>
      </c>
    </row>
    <row r="61" spans="8:59" ht="30" customHeight="1" x14ac:dyDescent="0.25">
      <c r="AF61" s="97">
        <v>450</v>
      </c>
      <c r="AG61" s="97">
        <v>315</v>
      </c>
      <c r="AH61" s="97">
        <v>320</v>
      </c>
      <c r="AO61" s="105" t="s">
        <v>103</v>
      </c>
    </row>
    <row r="62" spans="8:59" ht="30" customHeight="1" x14ac:dyDescent="0.25">
      <c r="AF62" s="97">
        <v>500</v>
      </c>
      <c r="AG62" s="97">
        <v>350</v>
      </c>
      <c r="AH62" s="97">
        <v>355</v>
      </c>
      <c r="AO62" s="105" t="s">
        <v>164</v>
      </c>
    </row>
    <row r="63" spans="8:59" ht="30" customHeight="1" x14ac:dyDescent="0.25">
      <c r="AF63" s="97">
        <v>550</v>
      </c>
      <c r="AG63" s="97">
        <v>380</v>
      </c>
      <c r="AH63" s="97">
        <v>390</v>
      </c>
      <c r="AO63" s="105" t="s">
        <v>65</v>
      </c>
    </row>
    <row r="64" spans="8:59" ht="30" customHeight="1" x14ac:dyDescent="0.25">
      <c r="AF64" s="97">
        <v>600</v>
      </c>
      <c r="AG64" s="97">
        <v>420</v>
      </c>
      <c r="AH64" s="97">
        <v>425</v>
      </c>
      <c r="AO64" s="105" t="s">
        <v>59</v>
      </c>
    </row>
    <row r="65" spans="32:41" ht="30" customHeight="1" x14ac:dyDescent="0.25">
      <c r="AF65" s="97">
        <v>650</v>
      </c>
      <c r="AG65" s="97">
        <v>450</v>
      </c>
      <c r="AH65" s="97">
        <v>460</v>
      </c>
      <c r="AO65" s="105" t="s">
        <v>69</v>
      </c>
    </row>
    <row r="66" spans="32:41" ht="30" customHeight="1" x14ac:dyDescent="0.25">
      <c r="AF66" s="97">
        <v>700</v>
      </c>
      <c r="AG66" s="97">
        <v>470</v>
      </c>
      <c r="AH66" s="97">
        <v>500</v>
      </c>
      <c r="AO66" s="114" t="s">
        <v>0</v>
      </c>
    </row>
    <row r="67" spans="32:41" ht="30" customHeight="1" x14ac:dyDescent="0.25">
      <c r="AF67" s="97">
        <v>750</v>
      </c>
      <c r="AG67" s="97">
        <v>500</v>
      </c>
      <c r="AH67" s="97">
        <v>530</v>
      </c>
      <c r="AO67" s="105" t="s">
        <v>75</v>
      </c>
    </row>
    <row r="68" spans="32:41" ht="30" customHeight="1" x14ac:dyDescent="0.25">
      <c r="AF68" s="97">
        <v>800</v>
      </c>
      <c r="AG68" s="97">
        <v>520</v>
      </c>
      <c r="AH68" s="97">
        <v>565</v>
      </c>
      <c r="AO68" s="105" t="s">
        <v>91</v>
      </c>
    </row>
    <row r="69" spans="32:41" ht="30" customHeight="1" x14ac:dyDescent="0.25">
      <c r="AF69" s="97">
        <v>850</v>
      </c>
      <c r="AG69" s="97">
        <v>550</v>
      </c>
      <c r="AH69" s="97">
        <v>600</v>
      </c>
      <c r="AO69" s="105" t="s">
        <v>74</v>
      </c>
    </row>
    <row r="70" spans="32:41" ht="30" customHeight="1" x14ac:dyDescent="0.25">
      <c r="AF70" s="97">
        <v>900</v>
      </c>
      <c r="AG70" s="97">
        <v>585</v>
      </c>
      <c r="AH70" s="97">
        <v>635</v>
      </c>
      <c r="AO70" s="105" t="s">
        <v>92</v>
      </c>
    </row>
    <row r="71" spans="32:41" ht="30" customHeight="1" x14ac:dyDescent="0.25">
      <c r="AF71" s="97">
        <v>950</v>
      </c>
      <c r="AG71" s="97">
        <v>635</v>
      </c>
      <c r="AH71" s="97">
        <v>670</v>
      </c>
      <c r="AO71" s="105" t="s">
        <v>98</v>
      </c>
    </row>
    <row r="72" spans="32:41" ht="30" customHeight="1" x14ac:dyDescent="0.25">
      <c r="AF72" s="97">
        <v>1000</v>
      </c>
      <c r="AG72" s="97">
        <v>665</v>
      </c>
      <c r="AH72" s="97">
        <v>705</v>
      </c>
      <c r="AO72" s="105" t="s">
        <v>99</v>
      </c>
    </row>
    <row r="73" spans="32:41" ht="30" customHeight="1" x14ac:dyDescent="0.25">
      <c r="AF73" s="97">
        <v>1050</v>
      </c>
      <c r="AG73" s="97">
        <v>700</v>
      </c>
      <c r="AH73" s="97">
        <v>740</v>
      </c>
      <c r="AO73" s="105" t="s">
        <v>157</v>
      </c>
    </row>
    <row r="74" spans="32:41" ht="30" customHeight="1" x14ac:dyDescent="0.25">
      <c r="AF74" s="97">
        <v>1100</v>
      </c>
      <c r="AG74" s="97">
        <v>735</v>
      </c>
      <c r="AH74" s="97">
        <v>780</v>
      </c>
      <c r="AO74" s="107" t="s">
        <v>0</v>
      </c>
    </row>
    <row r="75" spans="32:41" ht="30" customHeight="1" x14ac:dyDescent="0.25">
      <c r="AF75" s="97">
        <v>1150</v>
      </c>
      <c r="AG75" s="97">
        <v>765</v>
      </c>
      <c r="AH75" s="97">
        <v>815</v>
      </c>
      <c r="AO75" s="105" t="s">
        <v>75</v>
      </c>
    </row>
    <row r="76" spans="32:41" ht="30" customHeight="1" x14ac:dyDescent="0.25">
      <c r="AF76" s="97">
        <v>1200</v>
      </c>
      <c r="AG76" s="97">
        <v>800</v>
      </c>
      <c r="AH76" s="97">
        <v>850</v>
      </c>
      <c r="AO76" s="105" t="s">
        <v>91</v>
      </c>
    </row>
    <row r="77" spans="32:41" ht="30" customHeight="1" x14ac:dyDescent="0.25">
      <c r="AF77" s="97">
        <v>1250</v>
      </c>
      <c r="AG77" s="97">
        <v>835</v>
      </c>
      <c r="AH77" s="97">
        <v>885</v>
      </c>
      <c r="AO77" s="105" t="s">
        <v>74</v>
      </c>
    </row>
    <row r="78" spans="32:41" ht="30" customHeight="1" x14ac:dyDescent="0.25">
      <c r="AF78" s="97">
        <v>1300</v>
      </c>
      <c r="AG78" s="97">
        <v>865</v>
      </c>
      <c r="AH78" s="97">
        <v>920</v>
      </c>
      <c r="AO78" s="105" t="s">
        <v>92</v>
      </c>
    </row>
    <row r="79" spans="32:41" ht="30" customHeight="1" x14ac:dyDescent="0.25">
      <c r="AF79" s="97">
        <v>1350</v>
      </c>
      <c r="AG79" s="97">
        <v>900</v>
      </c>
      <c r="AH79" s="97">
        <v>955</v>
      </c>
      <c r="AO79" s="105" t="s">
        <v>80</v>
      </c>
    </row>
    <row r="80" spans="32:41" ht="30" customHeight="1" x14ac:dyDescent="0.25">
      <c r="AF80" s="97">
        <v>1400</v>
      </c>
      <c r="AG80" s="97">
        <v>935</v>
      </c>
      <c r="AH80" s="97">
        <v>990</v>
      </c>
      <c r="AO80" s="107" t="s">
        <v>0</v>
      </c>
    </row>
    <row r="81" spans="32:41" ht="30" customHeight="1" x14ac:dyDescent="0.25">
      <c r="AF81" s="97">
        <v>1450</v>
      </c>
      <c r="AG81" s="97">
        <v>965</v>
      </c>
      <c r="AH81" s="97">
        <v>1025</v>
      </c>
      <c r="AO81" s="105" t="s">
        <v>63</v>
      </c>
    </row>
    <row r="82" spans="32:41" ht="30" customHeight="1" x14ac:dyDescent="0.25">
      <c r="AF82" s="97">
        <v>1500</v>
      </c>
      <c r="AG82" s="97">
        <v>1000</v>
      </c>
      <c r="AH82" s="97">
        <v>1060</v>
      </c>
      <c r="AO82" s="105" t="s">
        <v>189</v>
      </c>
    </row>
    <row r="83" spans="32:41" ht="30" customHeight="1" x14ac:dyDescent="0.25">
      <c r="AF83" s="97">
        <v>1550</v>
      </c>
      <c r="AG83" s="97">
        <v>1035</v>
      </c>
      <c r="AH83" s="97">
        <v>1100</v>
      </c>
    </row>
    <row r="84" spans="32:41" ht="30" customHeight="1" x14ac:dyDescent="0.25">
      <c r="AF84" s="97">
        <v>1600</v>
      </c>
      <c r="AG84" s="97">
        <v>1065</v>
      </c>
      <c r="AH84" s="97">
        <v>1130</v>
      </c>
    </row>
    <row r="85" spans="32:41" ht="30" customHeight="1" x14ac:dyDescent="0.25">
      <c r="AF85" s="97">
        <v>1650</v>
      </c>
      <c r="AG85" s="97">
        <v>1100</v>
      </c>
      <c r="AH85" s="97">
        <v>1165</v>
      </c>
    </row>
    <row r="86" spans="32:41" ht="30" customHeight="1" x14ac:dyDescent="0.25">
      <c r="AF86" s="97">
        <v>1700</v>
      </c>
      <c r="AG86" s="97">
        <v>1135</v>
      </c>
      <c r="AH86" s="97">
        <v>1200</v>
      </c>
    </row>
    <row r="87" spans="32:41" ht="30" customHeight="1" x14ac:dyDescent="0.25">
      <c r="AF87" s="97">
        <v>1750</v>
      </c>
      <c r="AG87" s="97">
        <v>1165</v>
      </c>
      <c r="AH87" s="97">
        <v>1235</v>
      </c>
    </row>
    <row r="88" spans="32:41" ht="30" customHeight="1" x14ac:dyDescent="0.25">
      <c r="AF88" s="97">
        <v>1800</v>
      </c>
      <c r="AG88" s="97">
        <v>1200</v>
      </c>
      <c r="AH88" s="97">
        <v>1275</v>
      </c>
    </row>
  </sheetData>
  <mergeCells count="47">
    <mergeCell ref="E15:F15"/>
    <mergeCell ref="E16:F16"/>
    <mergeCell ref="B28:C28"/>
    <mergeCell ref="E23:F23"/>
    <mergeCell ref="E24:F24"/>
    <mergeCell ref="E25:F25"/>
    <mergeCell ref="E26:F26"/>
    <mergeCell ref="B8:C8"/>
    <mergeCell ref="E8:F8"/>
    <mergeCell ref="B2:C2"/>
    <mergeCell ref="B3:C3"/>
    <mergeCell ref="B4:C4"/>
    <mergeCell ref="E2:F2"/>
    <mergeCell ref="E3:F3"/>
    <mergeCell ref="E4:F4"/>
    <mergeCell ref="B6:H6"/>
    <mergeCell ref="CA6:CB6"/>
    <mergeCell ref="BT1:BU1"/>
    <mergeCell ref="BW1:BX1"/>
    <mergeCell ref="CA1:CB1"/>
    <mergeCell ref="BT2:BU2"/>
    <mergeCell ref="CA2:CB2"/>
    <mergeCell ref="BW4:BX4"/>
    <mergeCell ref="CA4:CB4"/>
    <mergeCell ref="BR1:BS1"/>
    <mergeCell ref="BQ6:BS6"/>
    <mergeCell ref="AG44:AG45"/>
    <mergeCell ref="E32:F32"/>
    <mergeCell ref="E28:F28"/>
    <mergeCell ref="E19:F19"/>
    <mergeCell ref="E21:F21"/>
    <mergeCell ref="E9:F9"/>
    <mergeCell ref="E14:F14"/>
    <mergeCell ref="BQ4:BS4"/>
    <mergeCell ref="E17:F17"/>
    <mergeCell ref="E18:F18"/>
    <mergeCell ref="AG9:AG14"/>
    <mergeCell ref="AG15:AG21"/>
    <mergeCell ref="AG22:AG28"/>
    <mergeCell ref="AG29:AG34"/>
    <mergeCell ref="AF58:AH58"/>
    <mergeCell ref="AG38:AG43"/>
    <mergeCell ref="AG46:AG51"/>
    <mergeCell ref="E37:F37"/>
    <mergeCell ref="AG52:AG54"/>
    <mergeCell ref="AG35:AG37"/>
    <mergeCell ref="E35:F35"/>
  </mergeCells>
  <conditionalFormatting sqref="G29">
    <cfRule type="expression" dxfId="20" priority="23">
      <formula>IF(B4&lt;&gt;"Сталь",1,0)</formula>
    </cfRule>
  </conditionalFormatting>
  <conditionalFormatting sqref="G30">
    <cfRule type="expression" dxfId="19" priority="22">
      <formula>IF(B4&lt;&gt;"Сталь",1,0)</formula>
    </cfRule>
  </conditionalFormatting>
  <conditionalFormatting sqref="G36">
    <cfRule type="expression" dxfId="18" priority="21">
      <formula>IF(B4&lt;&gt;"Сталь",1,0)</formula>
    </cfRule>
  </conditionalFormatting>
  <conditionalFormatting sqref="H9 H11 H13 H17 H19 H21">
    <cfRule type="cellIs" dxfId="17" priority="20" operator="greaterThan">
      <formula>0</formula>
    </cfRule>
  </conditionalFormatting>
  <conditionalFormatting sqref="H10 H12 H20 H18 H14">
    <cfRule type="cellIs" dxfId="16" priority="19" operator="greaterThan">
      <formula>0</formula>
    </cfRule>
  </conditionalFormatting>
  <conditionalFormatting sqref="H29 H31 H33 H36">
    <cfRule type="cellIs" dxfId="15" priority="18" operator="greaterThan">
      <formula>0</formula>
    </cfRule>
  </conditionalFormatting>
  <conditionalFormatting sqref="H30 H32 H34:H35">
    <cfRule type="cellIs" dxfId="14" priority="17" operator="greaterThan">
      <formula>0</formula>
    </cfRule>
  </conditionalFormatting>
  <conditionalFormatting sqref="G31">
    <cfRule type="expression" dxfId="13" priority="16">
      <formula>IF(B4&lt;&gt;"Сталь",1,0)</formula>
    </cfRule>
  </conditionalFormatting>
  <conditionalFormatting sqref="G32">
    <cfRule type="expression" dxfId="12" priority="15">
      <formula>IF(B4&lt;&gt;"Сталь",1,0)</formula>
    </cfRule>
  </conditionalFormatting>
  <conditionalFormatting sqref="G33">
    <cfRule type="expression" dxfId="11" priority="14">
      <formula>IF(B4&lt;&gt;"Сталь",1,0)</formula>
    </cfRule>
  </conditionalFormatting>
  <conditionalFormatting sqref="H23">
    <cfRule type="cellIs" dxfId="10" priority="12" operator="greaterThan">
      <formula>0</formula>
    </cfRule>
  </conditionalFormatting>
  <conditionalFormatting sqref="H22">
    <cfRule type="cellIs" dxfId="9" priority="11" operator="greaterThan">
      <formula>0</formula>
    </cfRule>
  </conditionalFormatting>
  <conditionalFormatting sqref="H25">
    <cfRule type="cellIs" dxfId="8" priority="10" operator="greaterThan">
      <formula>0</formula>
    </cfRule>
  </conditionalFormatting>
  <conditionalFormatting sqref="H24">
    <cfRule type="cellIs" dxfId="7" priority="9" operator="greaterThan">
      <formula>0</formula>
    </cfRule>
  </conditionalFormatting>
  <conditionalFormatting sqref="H37">
    <cfRule type="cellIs" dxfId="6" priority="7" operator="greaterThan">
      <formula>0</formula>
    </cfRule>
  </conditionalFormatting>
  <conditionalFormatting sqref="G37">
    <cfRule type="expression" dxfId="5" priority="6">
      <formula>IF(B4&lt;&gt;"Сталь",1,0)</formula>
    </cfRule>
  </conditionalFormatting>
  <conditionalFormatting sqref="H26">
    <cfRule type="cellIs" dxfId="4" priority="5" operator="greaterThan">
      <formula>0</formula>
    </cfRule>
  </conditionalFormatting>
  <conditionalFormatting sqref="H15">
    <cfRule type="cellIs" dxfId="3" priority="4" operator="greaterThan">
      <formula>0</formula>
    </cfRule>
  </conditionalFormatting>
  <conditionalFormatting sqref="H16">
    <cfRule type="cellIs" dxfId="2" priority="3" operator="greaterThan">
      <formula>0</formula>
    </cfRule>
  </conditionalFormatting>
  <conditionalFormatting sqref="G34">
    <cfRule type="expression" dxfId="1" priority="2">
      <formula>IF(B4&lt;&gt;"Сталь",1,0)</formula>
    </cfRule>
  </conditionalFormatting>
  <conditionalFormatting sqref="G35">
    <cfRule type="expression" dxfId="0" priority="1">
      <formula>IF(B4&lt;&gt;"Сталь",1,0)</formula>
    </cfRule>
  </conditionalFormatting>
  <dataValidations count="14">
    <dataValidation type="list" allowBlank="1" sqref="AU37:AU40 AU52:AU54 AU45:AU47 AU30:AU33 AU23:AU24 AU17:AU18 AU7 AU12">
      <formula1>$BI$8:$BI$34</formula1>
    </dataValidation>
    <dataValidation type="list" allowBlank="1" showInputMessage="1" sqref="BI2:BK2 G37">
      <formula1>СТАЛИ</formula1>
    </dataValidation>
    <dataValidation type="list" allowBlank="1" showInputMessage="1" showErrorMessage="1" sqref="H4 B4:C4 E4">
      <formula1>СТАЛИ</formula1>
    </dataValidation>
    <dataValidation type="list" allowBlank="1" showInputMessage="1" sqref="Y3">
      <formula1>"-,Моно,Сэндвич,Коаксиал,Утепленный коаксиал,"</formula1>
    </dataValidation>
    <dataValidation type="list" allowBlank="1" showInputMessage="1" sqref="B3:C3 H3 E3">
      <formula1>"Диаметр,"</formula1>
    </dataValidation>
    <dataValidation type="list" allowBlank="1" showInputMessage="1" sqref="AA4">
      <formula1>"Покраска,400,800,"</formula1>
    </dataValidation>
    <dataValidation type="list" allowBlank="1" showInputMessage="1" sqref="AA3">
      <formula1>"Сделать толще,"</formula1>
    </dataValidation>
    <dataValidation type="list" allowBlank="1" showInputMessage="1" sqref="G36 G29:G30">
      <formula1>СТАЛИ2</formula1>
    </dataValidation>
    <dataValidation type="list" allowBlank="1" showInputMessage="1" sqref="G33">
      <formula1>СТАЛИ3</formula1>
    </dataValidation>
    <dataValidation type="list" allowBlank="1" showInputMessage="1" sqref="G34">
      <formula1>$AO$74:$AO$79</formula1>
    </dataValidation>
    <dataValidation type="list" allowBlank="1" showInputMessage="1" showErrorMessage="1" sqref="C32">
      <formula1>"Хомут,Хомут-растяжка,"</formula1>
    </dataValidation>
    <dataValidation type="list" allowBlank="1" showInputMessage="1" sqref="G31:G32">
      <formula1>СТАЛИ1</formula1>
    </dataValidation>
    <dataValidation type="list" allowBlank="1" showInputMessage="1" showErrorMessage="1" sqref="D30">
      <formula1>$AF$59:$AF$88</formula1>
    </dataValidation>
    <dataValidation type="list" allowBlank="1" showInputMessage="1" sqref="G35">
      <formula1>$AO$80:$AO$82</formula1>
    </dataValidation>
  </dataValidations>
  <pageMargins left="0.7" right="0.7" top="0.75" bottom="0.75" header="0.3" footer="0.3"/>
  <pageSetup paperSize="9" orientation="portrait" r:id="rId1"/>
  <ignoredErrors>
    <ignoredError sqref="H35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showGridLines="0" workbookViewId="0">
      <selection activeCell="K20" sqref="K20"/>
    </sheetView>
  </sheetViews>
  <sheetFormatPr defaultRowHeight="15" x14ac:dyDescent="0.25"/>
  <cols>
    <col min="1" max="1" width="3.28515625" customWidth="1"/>
    <col min="2" max="2" width="12.28515625" customWidth="1"/>
    <col min="3" max="3" width="23.28515625" customWidth="1"/>
    <col min="4" max="7" width="9.7109375" customWidth="1"/>
    <col min="9" max="10" width="0" hidden="1" customWidth="1"/>
    <col min="11" max="11" width="8.28515625" customWidth="1"/>
  </cols>
  <sheetData>
    <row r="1" spans="2:11" ht="15.75" thickBot="1" x14ac:dyDescent="0.3"/>
    <row r="2" spans="2:11" ht="24" customHeight="1" thickBot="1" x14ac:dyDescent="0.3">
      <c r="B2" s="123"/>
      <c r="C2" s="124"/>
      <c r="D2" s="124"/>
      <c r="E2" s="124"/>
      <c r="F2" s="124"/>
      <c r="G2" s="124"/>
      <c r="H2" s="124"/>
      <c r="I2" s="124"/>
      <c r="J2" s="124"/>
      <c r="K2" s="125"/>
    </row>
    <row r="3" spans="2:11" ht="27" customHeight="1" thickBot="1" x14ac:dyDescent="0.3">
      <c r="B3" s="126"/>
      <c r="C3" s="244" t="s">
        <v>108</v>
      </c>
      <c r="D3" s="244"/>
      <c r="E3" s="244"/>
      <c r="F3" s="244"/>
      <c r="G3" s="244"/>
      <c r="H3" s="127"/>
      <c r="I3" s="127"/>
      <c r="J3" s="127"/>
      <c r="K3" s="128"/>
    </row>
    <row r="4" spans="2:11" ht="58.5" thickBot="1" x14ac:dyDescent="0.3">
      <c r="B4" s="129" t="s">
        <v>109</v>
      </c>
      <c r="C4" s="130" t="s">
        <v>110</v>
      </c>
      <c r="D4" s="130" t="s">
        <v>135</v>
      </c>
      <c r="E4" s="131" t="s">
        <v>112</v>
      </c>
      <c r="F4" s="131" t="s">
        <v>137</v>
      </c>
      <c r="G4" s="130" t="s">
        <v>113</v>
      </c>
      <c r="H4" s="127"/>
      <c r="I4" s="132" t="s">
        <v>114</v>
      </c>
      <c r="J4" s="127"/>
      <c r="K4" s="128"/>
    </row>
    <row r="5" spans="2:11" ht="58.9" customHeight="1" thickBot="1" x14ac:dyDescent="0.3">
      <c r="B5" s="133">
        <v>35</v>
      </c>
      <c r="C5" s="134" t="s">
        <v>115</v>
      </c>
      <c r="D5" s="135" t="s">
        <v>116</v>
      </c>
      <c r="E5" s="136"/>
      <c r="F5" s="136"/>
      <c r="G5" s="137">
        <f>E5*F5</f>
        <v>0</v>
      </c>
      <c r="H5" s="127"/>
      <c r="I5" s="138">
        <v>1.1000000000000001</v>
      </c>
      <c r="J5" s="127"/>
      <c r="K5" s="128"/>
    </row>
    <row r="6" spans="2:11" ht="58.9" customHeight="1" thickBot="1" x14ac:dyDescent="0.3">
      <c r="B6" s="236">
        <v>55</v>
      </c>
      <c r="C6" s="134" t="s">
        <v>117</v>
      </c>
      <c r="D6" s="237" t="s">
        <v>118</v>
      </c>
      <c r="E6" s="135">
        <v>4</v>
      </c>
      <c r="F6" s="136"/>
      <c r="G6" s="137">
        <f>E6*F6</f>
        <v>0</v>
      </c>
      <c r="H6" s="239" t="s">
        <v>138</v>
      </c>
      <c r="I6" s="127"/>
      <c r="J6" s="127"/>
      <c r="K6" s="128"/>
    </row>
    <row r="7" spans="2:11" ht="58.9" customHeight="1" thickBot="1" x14ac:dyDescent="0.3">
      <c r="B7" s="236"/>
      <c r="C7" s="134" t="s">
        <v>136</v>
      </c>
      <c r="D7" s="238"/>
      <c r="E7" s="156">
        <v>3</v>
      </c>
      <c r="F7" s="136"/>
      <c r="G7" s="137">
        <f>F7*E7</f>
        <v>0</v>
      </c>
      <c r="H7" s="240"/>
      <c r="I7" s="127"/>
      <c r="J7" s="127"/>
      <c r="K7" s="128"/>
    </row>
    <row r="8" spans="2:11" ht="7.9" customHeight="1" x14ac:dyDescent="0.25">
      <c r="B8" s="126"/>
      <c r="C8" s="127"/>
      <c r="D8" s="127"/>
      <c r="E8" s="127"/>
      <c r="F8" s="127"/>
      <c r="G8" s="139"/>
      <c r="H8" s="127"/>
      <c r="I8" s="127"/>
      <c r="J8" s="127"/>
      <c r="K8" s="128"/>
    </row>
    <row r="9" spans="2:11" ht="17.45" customHeight="1" x14ac:dyDescent="0.25">
      <c r="B9" s="126"/>
      <c r="C9" s="248" t="s">
        <v>119</v>
      </c>
      <c r="D9" s="248"/>
      <c r="E9" s="248"/>
      <c r="F9" s="139" t="s">
        <v>120</v>
      </c>
      <c r="G9" s="140">
        <f>G5*I5</f>
        <v>0</v>
      </c>
      <c r="H9" s="249" t="s">
        <v>121</v>
      </c>
      <c r="I9" s="249"/>
      <c r="J9" s="127"/>
      <c r="K9" s="128"/>
    </row>
    <row r="10" spans="2:11" ht="5.45" customHeight="1" x14ac:dyDescent="0.25">
      <c r="B10" s="126"/>
      <c r="C10" s="141"/>
      <c r="D10" s="141"/>
      <c r="E10" s="141"/>
      <c r="F10" s="139"/>
      <c r="G10" s="139"/>
      <c r="H10" s="127"/>
      <c r="I10" s="127"/>
      <c r="J10" s="127"/>
      <c r="K10" s="128"/>
    </row>
    <row r="11" spans="2:11" ht="17.45" customHeight="1" x14ac:dyDescent="0.25">
      <c r="B11" s="126"/>
      <c r="C11" s="248" t="s">
        <v>122</v>
      </c>
      <c r="D11" s="248"/>
      <c r="E11" s="248"/>
      <c r="F11" s="139" t="s">
        <v>123</v>
      </c>
      <c r="G11" s="140">
        <f>(G6+G7)*I5</f>
        <v>0</v>
      </c>
      <c r="H11" s="249" t="s">
        <v>121</v>
      </c>
      <c r="I11" s="249"/>
      <c r="J11" s="127"/>
      <c r="K11" s="128"/>
    </row>
    <row r="12" spans="2:11" x14ac:dyDescent="0.25">
      <c r="B12" s="126"/>
      <c r="C12" s="142"/>
      <c r="D12" s="142"/>
      <c r="E12" s="142"/>
      <c r="F12" s="139"/>
      <c r="G12" s="143"/>
      <c r="H12" s="144"/>
      <c r="I12" s="144"/>
      <c r="J12" s="127"/>
      <c r="K12" s="128"/>
    </row>
    <row r="13" spans="2:11" ht="42.6" customHeight="1" thickBot="1" x14ac:dyDescent="0.3">
      <c r="B13" s="241" t="s">
        <v>124</v>
      </c>
      <c r="C13" s="242"/>
      <c r="D13" s="242"/>
      <c r="E13" s="242"/>
      <c r="F13" s="242"/>
      <c r="G13" s="242"/>
      <c r="H13" s="242"/>
      <c r="I13" s="242"/>
      <c r="J13" s="242"/>
      <c r="K13" s="243"/>
    </row>
    <row r="14" spans="2:11" ht="18.600000000000001" customHeight="1" thickBot="1" x14ac:dyDescent="0.3">
      <c r="B14" s="172"/>
      <c r="C14" s="173"/>
      <c r="D14" s="173"/>
      <c r="E14" s="173"/>
      <c r="F14" s="173"/>
      <c r="G14" s="173"/>
      <c r="H14" s="173"/>
      <c r="I14" s="173"/>
      <c r="J14" s="173"/>
      <c r="K14" s="173"/>
    </row>
    <row r="15" spans="2:11" ht="24" customHeight="1" thickBot="1" x14ac:dyDescent="0.3">
      <c r="B15" s="174"/>
      <c r="C15" s="175"/>
      <c r="D15" s="175"/>
      <c r="E15" s="175"/>
      <c r="F15" s="175"/>
      <c r="G15" s="175"/>
      <c r="H15" s="175"/>
      <c r="I15" s="175"/>
      <c r="J15" s="175"/>
      <c r="K15" s="176"/>
    </row>
    <row r="16" spans="2:11" ht="27" customHeight="1" thickBot="1" x14ac:dyDescent="0.3">
      <c r="B16" s="177"/>
      <c r="C16" s="244" t="s">
        <v>108</v>
      </c>
      <c r="D16" s="244"/>
      <c r="E16" s="244"/>
      <c r="F16" s="244"/>
      <c r="G16" s="244"/>
      <c r="H16" s="173"/>
      <c r="I16" s="173"/>
      <c r="J16" s="173"/>
      <c r="K16" s="178"/>
    </row>
    <row r="17" spans="2:12" ht="57.6" customHeight="1" thickBot="1" x14ac:dyDescent="0.3">
      <c r="B17" s="129" t="s">
        <v>109</v>
      </c>
      <c r="C17" s="130" t="s">
        <v>110</v>
      </c>
      <c r="D17" s="130" t="s">
        <v>135</v>
      </c>
      <c r="E17" s="131" t="s">
        <v>159</v>
      </c>
      <c r="F17" s="131" t="s">
        <v>137</v>
      </c>
      <c r="G17" s="130" t="s">
        <v>113</v>
      </c>
      <c r="H17" s="173"/>
      <c r="I17" s="173"/>
      <c r="J17" s="173"/>
      <c r="K17" s="178"/>
    </row>
    <row r="18" spans="2:12" ht="58.9" customHeight="1" thickBot="1" x14ac:dyDescent="0.3">
      <c r="B18" s="247">
        <v>8</v>
      </c>
      <c r="C18" s="134" t="s">
        <v>152</v>
      </c>
      <c r="D18" s="246" t="s">
        <v>185</v>
      </c>
      <c r="E18" s="135">
        <v>1</v>
      </c>
      <c r="F18" s="136"/>
      <c r="G18" s="137">
        <f>E18*F18</f>
        <v>0</v>
      </c>
      <c r="H18" s="173"/>
      <c r="I18" s="173"/>
      <c r="J18" s="173"/>
      <c r="K18" s="178"/>
    </row>
    <row r="19" spans="2:12" ht="58.9" customHeight="1" thickBot="1" x14ac:dyDescent="0.3">
      <c r="B19" s="247"/>
      <c r="C19" s="134" t="s">
        <v>162</v>
      </c>
      <c r="D19" s="246"/>
      <c r="E19" s="156">
        <v>3</v>
      </c>
      <c r="F19" s="136"/>
      <c r="G19" s="137">
        <f>E19*F19</f>
        <v>0</v>
      </c>
      <c r="H19" s="173"/>
      <c r="I19" s="173"/>
      <c r="J19" s="173"/>
      <c r="K19" s="178"/>
    </row>
    <row r="20" spans="2:12" ht="58.9" customHeight="1" thickBot="1" x14ac:dyDescent="0.3">
      <c r="B20" s="247"/>
      <c r="C20" s="134" t="s">
        <v>42</v>
      </c>
      <c r="D20" s="246"/>
      <c r="E20" s="156">
        <v>1</v>
      </c>
      <c r="F20" s="136"/>
      <c r="G20" s="137">
        <f>F20*E20</f>
        <v>0</v>
      </c>
      <c r="H20" s="173"/>
      <c r="I20" s="173"/>
      <c r="J20" s="173"/>
      <c r="K20" s="178"/>
    </row>
    <row r="21" spans="2:12" ht="58.9" customHeight="1" thickBot="1" x14ac:dyDescent="0.3">
      <c r="B21" s="247"/>
      <c r="C21" s="134" t="s">
        <v>84</v>
      </c>
      <c r="D21" s="238"/>
      <c r="E21" s="135">
        <v>2</v>
      </c>
      <c r="F21" s="136"/>
      <c r="G21" s="137">
        <f>F21*E21</f>
        <v>0</v>
      </c>
      <c r="H21" s="173"/>
      <c r="I21" s="173"/>
      <c r="J21" s="173"/>
      <c r="K21" s="178"/>
    </row>
    <row r="22" spans="2:12" ht="7.9" customHeight="1" x14ac:dyDescent="0.25">
      <c r="B22" s="177"/>
      <c r="C22" s="173"/>
      <c r="D22" s="173"/>
      <c r="E22" s="173"/>
      <c r="F22" s="173"/>
      <c r="G22" s="173"/>
      <c r="H22" s="173"/>
      <c r="I22" s="173"/>
      <c r="J22" s="173"/>
      <c r="K22" s="178"/>
    </row>
    <row r="23" spans="2:12" ht="17.45" customHeight="1" x14ac:dyDescent="0.25">
      <c r="B23" s="177"/>
      <c r="C23" s="245" t="s">
        <v>161</v>
      </c>
      <c r="D23" s="245"/>
      <c r="E23" s="245"/>
      <c r="F23" s="139" t="s">
        <v>160</v>
      </c>
      <c r="G23" s="140">
        <f>SUM(G18:G21)</f>
        <v>0</v>
      </c>
      <c r="H23" s="173"/>
      <c r="I23" s="173"/>
      <c r="J23" s="173"/>
      <c r="K23" s="178"/>
    </row>
    <row r="24" spans="2:12" ht="24" customHeight="1" thickBot="1" x14ac:dyDescent="0.3">
      <c r="B24" s="169"/>
      <c r="C24" s="170"/>
      <c r="D24" s="170"/>
      <c r="E24" s="170"/>
      <c r="F24" s="170"/>
      <c r="G24" s="170"/>
      <c r="H24" s="170"/>
      <c r="I24" s="170"/>
      <c r="J24" s="170"/>
      <c r="K24" s="171"/>
    </row>
    <row r="25" spans="2:12" ht="22.15" customHeight="1" thickBot="1" x14ac:dyDescent="0.3">
      <c r="B25" s="127"/>
      <c r="C25" s="127"/>
      <c r="D25" s="127"/>
      <c r="E25" s="127"/>
      <c r="F25" s="127"/>
      <c r="G25" s="127"/>
      <c r="H25" s="127"/>
      <c r="I25" s="127"/>
      <c r="J25" s="127"/>
      <c r="K25" s="145"/>
      <c r="L25" s="145"/>
    </row>
    <row r="26" spans="2:12" x14ac:dyDescent="0.25">
      <c r="B26" s="123"/>
      <c r="C26" s="124"/>
      <c r="D26" s="124"/>
      <c r="E26" s="124"/>
      <c r="F26" s="124"/>
      <c r="G26" s="124"/>
      <c r="H26" s="124"/>
      <c r="I26" s="124"/>
      <c r="J26" s="124"/>
      <c r="K26" s="146"/>
      <c r="L26" s="145"/>
    </row>
    <row r="27" spans="2:12" x14ac:dyDescent="0.25">
      <c r="B27" s="126"/>
      <c r="C27" s="127"/>
      <c r="D27" s="127"/>
      <c r="E27" s="127"/>
      <c r="F27" s="127"/>
      <c r="G27" s="127"/>
      <c r="H27" s="127"/>
      <c r="I27" s="127"/>
      <c r="J27" s="127"/>
      <c r="K27" s="147"/>
      <c r="L27" s="145"/>
    </row>
    <row r="28" spans="2:12" ht="24" customHeight="1" thickBot="1" x14ac:dyDescent="0.3">
      <c r="B28" s="126"/>
      <c r="C28" s="234" t="s">
        <v>125</v>
      </c>
      <c r="D28" s="234"/>
      <c r="E28" s="234"/>
      <c r="F28" s="234"/>
      <c r="G28" s="234"/>
      <c r="H28" s="234"/>
      <c r="I28" s="148"/>
      <c r="J28" s="149" t="s">
        <v>126</v>
      </c>
      <c r="K28" s="147"/>
      <c r="L28" s="145"/>
    </row>
    <row r="29" spans="2:12" ht="60.75" thickBot="1" x14ac:dyDescent="0.3">
      <c r="B29" s="129" t="s">
        <v>109</v>
      </c>
      <c r="C29" s="130" t="s">
        <v>111</v>
      </c>
      <c r="D29" s="131" t="s">
        <v>127</v>
      </c>
      <c r="E29" s="131" t="s">
        <v>128</v>
      </c>
      <c r="F29" s="131" t="s">
        <v>129</v>
      </c>
      <c r="G29" s="131" t="s">
        <v>130</v>
      </c>
      <c r="H29" s="131" t="s">
        <v>131</v>
      </c>
      <c r="I29" s="139"/>
      <c r="J29" s="139">
        <v>3140</v>
      </c>
      <c r="K29" s="147"/>
      <c r="L29" s="145"/>
    </row>
    <row r="30" spans="2:12" ht="55.9" customHeight="1" thickBot="1" x14ac:dyDescent="0.3">
      <c r="B30" s="235">
        <v>400</v>
      </c>
      <c r="C30" s="150" t="s">
        <v>132</v>
      </c>
      <c r="D30" s="136"/>
      <c r="E30" s="135">
        <f>D30*3.14</f>
        <v>0</v>
      </c>
      <c r="F30" s="136"/>
      <c r="G30" s="135">
        <f>E30*F30</f>
        <v>0</v>
      </c>
      <c r="H30" s="151">
        <f>G30/$J$29</f>
        <v>0</v>
      </c>
      <c r="I30" s="127"/>
      <c r="J30" s="127"/>
      <c r="K30" s="147"/>
      <c r="L30" s="145"/>
    </row>
    <row r="31" spans="2:12" ht="58.15" customHeight="1" thickBot="1" x14ac:dyDescent="0.3">
      <c r="B31" s="235"/>
      <c r="C31" s="150" t="s">
        <v>133</v>
      </c>
      <c r="D31" s="136"/>
      <c r="E31" s="135">
        <f>D31*3.14</f>
        <v>0</v>
      </c>
      <c r="F31" s="136"/>
      <c r="G31" s="135">
        <f>E31*F31</f>
        <v>0</v>
      </c>
      <c r="H31" s="151">
        <f>G31/$J$29</f>
        <v>0</v>
      </c>
      <c r="I31" s="127"/>
      <c r="J31" s="127"/>
      <c r="K31" s="147"/>
      <c r="L31" s="145"/>
    </row>
    <row r="32" spans="2:12" x14ac:dyDescent="0.25">
      <c r="B32" s="126"/>
      <c r="C32" s="127"/>
      <c r="D32" s="127"/>
      <c r="E32" s="127"/>
      <c r="F32" s="127"/>
      <c r="G32" s="127"/>
      <c r="H32" s="127"/>
      <c r="I32" s="127"/>
      <c r="J32" s="127"/>
      <c r="K32" s="147"/>
      <c r="L32" s="145"/>
    </row>
    <row r="33" spans="1:12" ht="25.15" customHeight="1" x14ac:dyDescent="0.25">
      <c r="B33" s="126"/>
      <c r="C33" s="127"/>
      <c r="D33" s="127"/>
      <c r="E33" s="127"/>
      <c r="F33" s="127"/>
      <c r="G33" s="139" t="s">
        <v>134</v>
      </c>
      <c r="H33" s="140">
        <f>SUM(H30:H31)+1</f>
        <v>1</v>
      </c>
      <c r="I33" s="127"/>
      <c r="J33" s="127"/>
      <c r="K33" s="147"/>
      <c r="L33" s="145"/>
    </row>
    <row r="34" spans="1:12" x14ac:dyDescent="0.25">
      <c r="B34" s="126"/>
      <c r="C34" s="127"/>
      <c r="D34" s="127"/>
      <c r="E34" s="127"/>
      <c r="F34" s="127"/>
      <c r="G34" s="127"/>
      <c r="H34" s="127"/>
      <c r="I34" s="127"/>
      <c r="J34" s="127"/>
      <c r="K34" s="147"/>
      <c r="L34" s="145"/>
    </row>
    <row r="35" spans="1:12" ht="15.75" thickBot="1" x14ac:dyDescent="0.3">
      <c r="B35" s="152"/>
      <c r="C35" s="153"/>
      <c r="D35" s="153"/>
      <c r="E35" s="153"/>
      <c r="F35" s="153"/>
      <c r="G35" s="153"/>
      <c r="H35" s="153"/>
      <c r="I35" s="153"/>
      <c r="J35" s="153"/>
      <c r="K35" s="154"/>
      <c r="L35" s="145"/>
    </row>
    <row r="36" spans="1:12" x14ac:dyDescent="0.25">
      <c r="A36" s="155"/>
      <c r="B36" s="127"/>
      <c r="C36" s="127"/>
      <c r="D36" s="127"/>
      <c r="E36" s="127"/>
      <c r="F36" s="127"/>
      <c r="G36" s="127"/>
      <c r="H36" s="127"/>
      <c r="I36" s="127"/>
      <c r="J36" s="127"/>
      <c r="K36" s="145"/>
      <c r="L36" s="145"/>
    </row>
    <row r="37" spans="1:12" x14ac:dyDescent="0.25">
      <c r="B37" s="127"/>
      <c r="C37" s="127"/>
      <c r="D37" s="127"/>
      <c r="E37" s="127"/>
      <c r="F37" s="127"/>
      <c r="G37" s="127"/>
      <c r="H37" s="127"/>
      <c r="I37" s="127"/>
      <c r="J37" s="127"/>
      <c r="K37" s="127"/>
      <c r="L37" s="145"/>
    </row>
    <row r="38" spans="1:12" x14ac:dyDescent="0.25">
      <c r="B38" s="145"/>
      <c r="C38" s="145"/>
      <c r="D38" s="145"/>
      <c r="E38" s="145"/>
      <c r="F38" s="145"/>
      <c r="G38" s="145"/>
      <c r="H38" s="145"/>
      <c r="I38" s="145"/>
      <c r="J38" s="145"/>
      <c r="K38" s="145"/>
      <c r="L38" s="145"/>
    </row>
    <row r="39" spans="1:12" x14ac:dyDescent="0.25">
      <c r="B39" s="145"/>
      <c r="C39" s="145"/>
      <c r="D39" s="145"/>
      <c r="E39" s="145"/>
      <c r="F39" s="145"/>
      <c r="G39" s="145"/>
      <c r="H39" s="145"/>
      <c r="I39" s="145"/>
      <c r="J39" s="145"/>
      <c r="K39" s="145"/>
      <c r="L39" s="145"/>
    </row>
    <row r="40" spans="1:12" x14ac:dyDescent="0.25">
      <c r="B40" s="145"/>
      <c r="C40" s="145"/>
      <c r="D40" s="145"/>
      <c r="E40" s="145"/>
      <c r="F40" s="145"/>
      <c r="G40" s="145"/>
      <c r="H40" s="145"/>
      <c r="I40" s="145"/>
      <c r="J40" s="145"/>
      <c r="K40" s="145"/>
      <c r="L40" s="145"/>
    </row>
    <row r="41" spans="1:12" x14ac:dyDescent="0.25">
      <c r="B41" s="145"/>
      <c r="C41" s="145"/>
      <c r="D41" s="145"/>
      <c r="E41" s="145"/>
      <c r="F41" s="145"/>
      <c r="G41" s="145"/>
      <c r="H41" s="145"/>
      <c r="I41" s="145"/>
      <c r="J41" s="145"/>
      <c r="K41" s="145"/>
      <c r="L41" s="145"/>
    </row>
    <row r="42" spans="1:12" x14ac:dyDescent="0.25">
      <c r="B42" s="145"/>
      <c r="C42" s="145"/>
      <c r="D42" s="145"/>
      <c r="E42" s="145"/>
      <c r="F42" s="145"/>
      <c r="G42" s="145"/>
      <c r="H42" s="145"/>
      <c r="I42" s="145"/>
      <c r="J42" s="145"/>
      <c r="K42" s="145"/>
      <c r="L42" s="145"/>
    </row>
    <row r="43" spans="1:12" x14ac:dyDescent="0.25">
      <c r="B43" s="145"/>
      <c r="C43" s="145"/>
      <c r="D43" s="145"/>
      <c r="E43" s="145"/>
      <c r="F43" s="145"/>
      <c r="G43" s="145"/>
      <c r="H43" s="145"/>
      <c r="I43" s="145"/>
      <c r="J43" s="145"/>
      <c r="K43" s="145"/>
      <c r="L43" s="145"/>
    </row>
    <row r="44" spans="1:12" x14ac:dyDescent="0.25">
      <c r="B44" s="145"/>
      <c r="C44" s="145"/>
      <c r="D44" s="145"/>
      <c r="E44" s="145"/>
      <c r="F44" s="145"/>
      <c r="G44" s="145"/>
      <c r="H44" s="145"/>
      <c r="I44" s="145"/>
      <c r="J44" s="145"/>
      <c r="K44" s="145"/>
      <c r="L44" s="145"/>
    </row>
    <row r="45" spans="1:12" x14ac:dyDescent="0.25">
      <c r="B45" s="145"/>
      <c r="C45" s="145"/>
      <c r="D45" s="145"/>
      <c r="E45" s="145"/>
      <c r="F45" s="145"/>
      <c r="G45" s="145"/>
      <c r="H45" s="145"/>
      <c r="I45" s="145"/>
      <c r="J45" s="145"/>
      <c r="K45" s="145"/>
      <c r="L45" s="145"/>
    </row>
    <row r="46" spans="1:12" x14ac:dyDescent="0.25">
      <c r="B46" s="145"/>
      <c r="C46" s="145"/>
      <c r="D46" s="145"/>
      <c r="E46" s="145"/>
      <c r="F46" s="145"/>
      <c r="G46" s="145"/>
      <c r="H46" s="145"/>
      <c r="I46" s="145"/>
      <c r="J46" s="145"/>
      <c r="K46" s="145"/>
      <c r="L46" s="145"/>
    </row>
    <row r="47" spans="1:12" x14ac:dyDescent="0.25">
      <c r="B47" s="145"/>
      <c r="C47" s="145"/>
      <c r="D47" s="145"/>
      <c r="E47" s="145"/>
      <c r="F47" s="145"/>
      <c r="G47" s="145"/>
      <c r="H47" s="145"/>
      <c r="I47" s="145"/>
      <c r="J47" s="145"/>
      <c r="K47" s="145"/>
      <c r="L47" s="145"/>
    </row>
    <row r="48" spans="1:12" x14ac:dyDescent="0.25">
      <c r="B48" s="145"/>
      <c r="C48" s="145"/>
      <c r="D48" s="145"/>
      <c r="E48" s="145"/>
      <c r="F48" s="145"/>
      <c r="G48" s="145"/>
      <c r="H48" s="145"/>
      <c r="I48" s="145"/>
      <c r="J48" s="145"/>
      <c r="K48" s="145"/>
      <c r="L48" s="145"/>
    </row>
  </sheetData>
  <mergeCells count="15">
    <mergeCell ref="C3:G3"/>
    <mergeCell ref="C9:E9"/>
    <mergeCell ref="H9:I9"/>
    <mergeCell ref="C11:E11"/>
    <mergeCell ref="H11:I11"/>
    <mergeCell ref="C28:H28"/>
    <mergeCell ref="B30:B31"/>
    <mergeCell ref="B6:B7"/>
    <mergeCell ref="D6:D7"/>
    <mergeCell ref="H6:H7"/>
    <mergeCell ref="B13:K13"/>
    <mergeCell ref="C16:G16"/>
    <mergeCell ref="C23:E23"/>
    <mergeCell ref="D18:D21"/>
    <mergeCell ref="B18:B21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27"/>
  <sheetViews>
    <sheetView showGridLines="0" workbookViewId="0"/>
  </sheetViews>
  <sheetFormatPr defaultRowHeight="15" x14ac:dyDescent="0.25"/>
  <cols>
    <col min="1" max="1" width="16.7109375" customWidth="1"/>
    <col min="2" max="3" width="30.7109375" customWidth="1"/>
  </cols>
  <sheetData>
    <row r="1" spans="2:3" ht="8.4499999999999993" customHeight="1" thickBot="1" x14ac:dyDescent="0.3"/>
    <row r="2" spans="2:3" ht="30" customHeight="1" x14ac:dyDescent="0.25">
      <c r="B2" s="255" t="s">
        <v>143</v>
      </c>
      <c r="C2" s="256"/>
    </row>
    <row r="3" spans="2:3" ht="4.1500000000000004" customHeight="1" thickBot="1" x14ac:dyDescent="0.3">
      <c r="B3" s="157"/>
      <c r="C3" s="128"/>
    </row>
    <row r="4" spans="2:3" ht="25.15" customHeight="1" thickBot="1" x14ac:dyDescent="0.3">
      <c r="B4" s="158" t="s">
        <v>142</v>
      </c>
      <c r="C4" s="159" t="s">
        <v>144</v>
      </c>
    </row>
    <row r="5" spans="2:3" ht="30" customHeight="1" thickBot="1" x14ac:dyDescent="0.3">
      <c r="B5" s="160">
        <v>0</v>
      </c>
      <c r="C5" s="161">
        <v>0</v>
      </c>
    </row>
    <row r="6" spans="2:3" ht="4.1500000000000004" customHeight="1" thickBot="1" x14ac:dyDescent="0.3">
      <c r="B6" s="126"/>
      <c r="C6" s="147"/>
    </row>
    <row r="7" spans="2:3" ht="25.15" customHeight="1" thickBot="1" x14ac:dyDescent="0.3">
      <c r="B7" s="251" t="s">
        <v>139</v>
      </c>
      <c r="C7" s="252"/>
    </row>
    <row r="8" spans="2:3" ht="30" customHeight="1" x14ac:dyDescent="0.25">
      <c r="B8" s="253">
        <v>50</v>
      </c>
      <c r="C8" s="254"/>
    </row>
    <row r="9" spans="2:3" ht="4.1500000000000004" customHeight="1" thickBot="1" x14ac:dyDescent="0.3">
      <c r="B9" s="126"/>
      <c r="C9" s="147"/>
    </row>
    <row r="10" spans="2:3" ht="25.15" customHeight="1" thickBot="1" x14ac:dyDescent="0.3">
      <c r="B10" s="162" t="s">
        <v>140</v>
      </c>
      <c r="C10" s="163" t="s">
        <v>141</v>
      </c>
    </row>
    <row r="11" spans="2:3" ht="30" customHeight="1" thickBot="1" x14ac:dyDescent="0.3">
      <c r="B11" s="164">
        <f>(((B5/1000)^2*(C5/1000)*0.05)^0.5)*1000</f>
        <v>0</v>
      </c>
      <c r="C11" s="165">
        <f>B11+(B8*2)</f>
        <v>100</v>
      </c>
    </row>
    <row r="12" spans="2:3" ht="4.9000000000000004" customHeight="1" x14ac:dyDescent="0.25"/>
    <row r="13" spans="2:3" ht="10.15" customHeight="1" x14ac:dyDescent="0.25">
      <c r="B13" s="250" t="s">
        <v>145</v>
      </c>
      <c r="C13" s="250"/>
    </row>
    <row r="14" spans="2:3" ht="3" customHeight="1" x14ac:dyDescent="0.25"/>
    <row r="15" spans="2:3" ht="5.45" customHeight="1" thickBot="1" x14ac:dyDescent="0.3"/>
    <row r="16" spans="2:3" ht="30" customHeight="1" x14ac:dyDescent="0.25">
      <c r="B16" s="257" t="s">
        <v>146</v>
      </c>
      <c r="C16" s="258"/>
    </row>
    <row r="17" spans="2:3" ht="5.45" customHeight="1" thickBot="1" x14ac:dyDescent="0.3">
      <c r="B17" s="157"/>
      <c r="C17" s="128"/>
    </row>
    <row r="18" spans="2:3" ht="25.15" customHeight="1" thickBot="1" x14ac:dyDescent="0.3">
      <c r="B18" s="158" t="s">
        <v>147</v>
      </c>
      <c r="C18" s="159" t="s">
        <v>148</v>
      </c>
    </row>
    <row r="19" spans="2:3" ht="30" customHeight="1" thickBot="1" x14ac:dyDescent="0.3">
      <c r="B19" s="160">
        <v>0</v>
      </c>
      <c r="C19" s="161">
        <v>0</v>
      </c>
    </row>
    <row r="20" spans="2:3" ht="5.45" customHeight="1" thickBot="1" x14ac:dyDescent="0.3">
      <c r="B20" s="126"/>
      <c r="C20" s="147"/>
    </row>
    <row r="21" spans="2:3" ht="25.15" customHeight="1" thickBot="1" x14ac:dyDescent="0.3">
      <c r="B21" s="158" t="s">
        <v>139</v>
      </c>
      <c r="C21" s="159" t="s">
        <v>149</v>
      </c>
    </row>
    <row r="22" spans="2:3" ht="30" customHeight="1" thickBot="1" x14ac:dyDescent="0.3">
      <c r="B22" s="160">
        <v>50</v>
      </c>
      <c r="C22" s="161">
        <v>2</v>
      </c>
    </row>
    <row r="23" spans="2:3" ht="6" customHeight="1" thickBot="1" x14ac:dyDescent="0.3">
      <c r="B23" s="126"/>
      <c r="C23" s="147"/>
    </row>
    <row r="24" spans="2:3" ht="25.15" customHeight="1" thickBot="1" x14ac:dyDescent="0.3">
      <c r="B24" s="162" t="s">
        <v>140</v>
      </c>
      <c r="C24" s="163" t="s">
        <v>141</v>
      </c>
    </row>
    <row r="25" spans="2:3" ht="30" customHeight="1" thickBot="1" x14ac:dyDescent="0.3">
      <c r="B25" s="166">
        <f>CEILING((((B19/1000)*(((C19/1000)*0.05)/C22)^0.5)*1000),1)</f>
        <v>0</v>
      </c>
      <c r="C25" s="165">
        <f>B25+B22*2</f>
        <v>100</v>
      </c>
    </row>
    <row r="26" spans="2:3" ht="1.1499999999999999" customHeight="1" x14ac:dyDescent="0.25"/>
    <row r="27" spans="2:3" ht="11.45" customHeight="1" x14ac:dyDescent="0.25">
      <c r="B27" s="250" t="s">
        <v>150</v>
      </c>
      <c r="C27" s="250"/>
    </row>
  </sheetData>
  <mergeCells count="6">
    <mergeCell ref="B27:C27"/>
    <mergeCell ref="B7:C7"/>
    <mergeCell ref="B8:C8"/>
    <mergeCell ref="B2:C2"/>
    <mergeCell ref="B13:C13"/>
    <mergeCell ref="B16:C16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50"/>
  <sheetViews>
    <sheetView workbookViewId="0">
      <selection activeCell="B2" sqref="B2"/>
    </sheetView>
  </sheetViews>
  <sheetFormatPr defaultColWidth="9.140625" defaultRowHeight="15" x14ac:dyDescent="0.25"/>
  <cols>
    <col min="1" max="1" width="9.140625" style="1"/>
    <col min="2" max="5" width="15.7109375" style="1" customWidth="1"/>
    <col min="6" max="16384" width="9.140625" style="1"/>
  </cols>
  <sheetData>
    <row r="1" spans="2:5" ht="30" customHeight="1" x14ac:dyDescent="0.25"/>
    <row r="2" spans="2:5" ht="30" customHeight="1" x14ac:dyDescent="0.25">
      <c r="B2" s="35" t="s">
        <v>0</v>
      </c>
      <c r="C2" s="35" t="s">
        <v>3</v>
      </c>
      <c r="D2" s="35" t="s">
        <v>45</v>
      </c>
      <c r="E2" s="35" t="s">
        <v>38</v>
      </c>
    </row>
    <row r="3" spans="2:5" ht="30" customHeight="1" x14ac:dyDescent="0.25">
      <c r="B3" s="215" t="s">
        <v>26</v>
      </c>
      <c r="C3" s="191">
        <v>0.5</v>
      </c>
      <c r="D3" s="191">
        <v>4</v>
      </c>
      <c r="E3" s="191">
        <v>64.599999999999994</v>
      </c>
    </row>
    <row r="4" spans="2:5" ht="30" customHeight="1" x14ac:dyDescent="0.25">
      <c r="B4" s="216"/>
      <c r="C4" s="191">
        <v>0.6</v>
      </c>
      <c r="D4" s="191">
        <v>4.8</v>
      </c>
      <c r="E4" s="191">
        <v>62.5</v>
      </c>
    </row>
    <row r="5" spans="2:5" ht="30" customHeight="1" x14ac:dyDescent="0.25">
      <c r="B5" s="216"/>
      <c r="C5" s="191">
        <v>0.7</v>
      </c>
      <c r="D5" s="191">
        <v>5.6</v>
      </c>
      <c r="E5" s="191">
        <v>62.5</v>
      </c>
    </row>
    <row r="6" spans="2:5" ht="30" customHeight="1" x14ac:dyDescent="0.25">
      <c r="B6" s="216"/>
      <c r="C6" s="191">
        <v>1</v>
      </c>
      <c r="D6" s="191">
        <v>8</v>
      </c>
      <c r="E6" s="191">
        <v>62.5</v>
      </c>
    </row>
    <row r="7" spans="2:5" ht="30" customHeight="1" x14ac:dyDescent="0.25">
      <c r="B7" s="216"/>
      <c r="C7" s="191">
        <v>1.5</v>
      </c>
      <c r="D7" s="191">
        <v>12</v>
      </c>
      <c r="E7" s="191">
        <v>60.1</v>
      </c>
    </row>
    <row r="8" spans="2:5" ht="30" customHeight="1" x14ac:dyDescent="0.25">
      <c r="B8" s="217"/>
      <c r="C8" s="191">
        <v>2</v>
      </c>
      <c r="D8" s="191">
        <v>16</v>
      </c>
      <c r="E8" s="191">
        <v>61.9</v>
      </c>
    </row>
    <row r="9" spans="2:5" ht="30" customHeight="1" x14ac:dyDescent="0.25">
      <c r="B9" s="218">
        <v>430</v>
      </c>
      <c r="C9" s="49">
        <v>0.5</v>
      </c>
      <c r="D9" s="102">
        <v>4</v>
      </c>
      <c r="E9" s="102">
        <v>147</v>
      </c>
    </row>
    <row r="10" spans="2:5" ht="30" customHeight="1" x14ac:dyDescent="0.25">
      <c r="B10" s="219"/>
      <c r="C10" s="49">
        <v>0.6</v>
      </c>
      <c r="D10" s="102">
        <v>4.8</v>
      </c>
      <c r="E10" s="102">
        <v>145</v>
      </c>
    </row>
    <row r="11" spans="2:5" ht="30" customHeight="1" x14ac:dyDescent="0.25">
      <c r="B11" s="219"/>
      <c r="C11" s="49">
        <v>0.8</v>
      </c>
      <c r="D11" s="102">
        <v>6.4</v>
      </c>
      <c r="E11" s="102">
        <v>148</v>
      </c>
    </row>
    <row r="12" spans="2:5" ht="30" customHeight="1" x14ac:dyDescent="0.25">
      <c r="B12" s="219"/>
      <c r="C12" s="49">
        <v>1</v>
      </c>
      <c r="D12" s="102">
        <v>8</v>
      </c>
      <c r="E12" s="102">
        <v>132</v>
      </c>
    </row>
    <row r="13" spans="2:5" ht="30" customHeight="1" x14ac:dyDescent="0.25">
      <c r="B13" s="219"/>
      <c r="C13" s="49">
        <v>1.2</v>
      </c>
      <c r="D13" s="102">
        <v>9.6</v>
      </c>
      <c r="E13" s="102">
        <v>126</v>
      </c>
    </row>
    <row r="14" spans="2:5" ht="30" customHeight="1" x14ac:dyDescent="0.25">
      <c r="B14" s="219"/>
      <c r="C14" s="49">
        <v>1.5</v>
      </c>
      <c r="D14" s="102">
        <v>12</v>
      </c>
      <c r="E14" s="102">
        <v>134</v>
      </c>
    </row>
    <row r="15" spans="2:5" ht="30" customHeight="1" x14ac:dyDescent="0.25">
      <c r="B15" s="220"/>
      <c r="C15" s="49">
        <v>2</v>
      </c>
      <c r="D15" s="102">
        <v>16</v>
      </c>
      <c r="E15" s="102">
        <v>128</v>
      </c>
    </row>
    <row r="16" spans="2:5" ht="30" customHeight="1" x14ac:dyDescent="0.25">
      <c r="B16" s="221">
        <v>304</v>
      </c>
      <c r="C16" s="51">
        <v>0.5</v>
      </c>
      <c r="D16" s="103">
        <v>4</v>
      </c>
      <c r="E16" s="103">
        <v>220</v>
      </c>
    </row>
    <row r="17" spans="2:5" ht="30" customHeight="1" x14ac:dyDescent="0.25">
      <c r="B17" s="222"/>
      <c r="C17" s="51">
        <v>0.8</v>
      </c>
      <c r="D17" s="103">
        <v>6.4</v>
      </c>
      <c r="E17" s="103">
        <v>213</v>
      </c>
    </row>
    <row r="18" spans="2:5" ht="30" customHeight="1" x14ac:dyDescent="0.25">
      <c r="B18" s="222"/>
      <c r="C18" s="51">
        <v>1</v>
      </c>
      <c r="D18" s="103">
        <v>8</v>
      </c>
      <c r="E18" s="103">
        <v>210</v>
      </c>
    </row>
    <row r="19" spans="2:5" ht="30" customHeight="1" x14ac:dyDescent="0.25">
      <c r="B19" s="222"/>
      <c r="C19" s="51">
        <v>1.2</v>
      </c>
      <c r="D19" s="103">
        <v>9.6</v>
      </c>
      <c r="E19" s="103">
        <v>215</v>
      </c>
    </row>
    <row r="20" spans="2:5" ht="30" customHeight="1" x14ac:dyDescent="0.25">
      <c r="B20" s="222"/>
      <c r="C20" s="51">
        <v>1.5</v>
      </c>
      <c r="D20" s="103">
        <v>12</v>
      </c>
      <c r="E20" s="103">
        <v>214</v>
      </c>
    </row>
    <row r="21" spans="2:5" ht="30" customHeight="1" x14ac:dyDescent="0.25">
      <c r="B21" s="222"/>
      <c r="C21" s="51">
        <v>2</v>
      </c>
      <c r="D21" s="103">
        <v>16</v>
      </c>
      <c r="E21" s="103">
        <v>208</v>
      </c>
    </row>
    <row r="22" spans="2:5" ht="30" customHeight="1" x14ac:dyDescent="0.25">
      <c r="B22" s="223"/>
      <c r="C22" s="51">
        <v>4</v>
      </c>
      <c r="D22" s="103">
        <v>32</v>
      </c>
      <c r="E22" s="103">
        <v>207</v>
      </c>
    </row>
    <row r="23" spans="2:5" ht="30" customHeight="1" x14ac:dyDescent="0.25">
      <c r="B23" s="224" t="s">
        <v>89</v>
      </c>
      <c r="C23" s="52">
        <v>0.5</v>
      </c>
      <c r="D23" s="104">
        <v>4</v>
      </c>
      <c r="E23" s="104">
        <v>247</v>
      </c>
    </row>
    <row r="24" spans="2:5" ht="30" customHeight="1" x14ac:dyDescent="0.25">
      <c r="B24" s="225"/>
      <c r="C24" s="52">
        <v>0.8</v>
      </c>
      <c r="D24" s="104">
        <v>6.4</v>
      </c>
      <c r="E24" s="104">
        <v>229</v>
      </c>
    </row>
    <row r="25" spans="2:5" ht="30" customHeight="1" x14ac:dyDescent="0.25">
      <c r="B25" s="225"/>
      <c r="C25" s="52">
        <v>1</v>
      </c>
      <c r="D25" s="104">
        <v>8</v>
      </c>
      <c r="E25" s="104">
        <v>225</v>
      </c>
    </row>
    <row r="26" spans="2:5" ht="30" customHeight="1" x14ac:dyDescent="0.25">
      <c r="B26" s="225"/>
      <c r="C26" s="52">
        <v>1.2</v>
      </c>
      <c r="D26" s="104">
        <v>9.6</v>
      </c>
      <c r="E26" s="104">
        <v>228</v>
      </c>
    </row>
    <row r="27" spans="2:5" ht="30" customHeight="1" x14ac:dyDescent="0.25">
      <c r="B27" s="225"/>
      <c r="C27" s="52">
        <v>1.5</v>
      </c>
      <c r="D27" s="104">
        <v>12</v>
      </c>
      <c r="E27" s="104">
        <v>229</v>
      </c>
    </row>
    <row r="28" spans="2:5" ht="30" customHeight="1" x14ac:dyDescent="0.25">
      <c r="B28" s="226"/>
      <c r="C28" s="52">
        <v>2</v>
      </c>
      <c r="D28" s="104">
        <v>16</v>
      </c>
      <c r="E28" s="104">
        <v>226</v>
      </c>
    </row>
    <row r="29" spans="2:5" ht="30" customHeight="1" x14ac:dyDescent="0.25">
      <c r="B29" s="206">
        <v>444</v>
      </c>
      <c r="C29" s="53">
        <v>0.5</v>
      </c>
      <c r="D29" s="105">
        <v>4</v>
      </c>
      <c r="E29" s="105" t="s">
        <v>191</v>
      </c>
    </row>
    <row r="30" spans="2:5" ht="30" customHeight="1" x14ac:dyDescent="0.25">
      <c r="B30" s="207"/>
      <c r="C30" s="53">
        <v>0.8</v>
      </c>
      <c r="D30" s="105">
        <v>6.4</v>
      </c>
      <c r="E30" s="105" t="s">
        <v>191</v>
      </c>
    </row>
    <row r="31" spans="2:5" ht="30" customHeight="1" x14ac:dyDescent="0.25">
      <c r="B31" s="208"/>
      <c r="C31" s="53">
        <v>1</v>
      </c>
      <c r="D31" s="105">
        <v>8</v>
      </c>
      <c r="E31" s="105" t="s">
        <v>191</v>
      </c>
    </row>
    <row r="32" spans="2:5" ht="30" customHeight="1" x14ac:dyDescent="0.25">
      <c r="B32" s="195">
        <v>321</v>
      </c>
      <c r="C32" s="54">
        <v>0.5</v>
      </c>
      <c r="D32" s="115">
        <v>4</v>
      </c>
      <c r="E32" s="115">
        <v>267</v>
      </c>
    </row>
    <row r="33" spans="2:5" ht="30" customHeight="1" x14ac:dyDescent="0.25">
      <c r="B33" s="196"/>
      <c r="C33" s="54">
        <v>0.8</v>
      </c>
      <c r="D33" s="115">
        <v>6.4</v>
      </c>
      <c r="E33" s="115">
        <v>250</v>
      </c>
    </row>
    <row r="34" spans="2:5" ht="30" customHeight="1" x14ac:dyDescent="0.25">
      <c r="B34" s="196"/>
      <c r="C34" s="54">
        <v>1</v>
      </c>
      <c r="D34" s="115">
        <v>8</v>
      </c>
      <c r="E34" s="115">
        <v>239</v>
      </c>
    </row>
    <row r="35" spans="2:5" ht="30" customHeight="1" x14ac:dyDescent="0.25">
      <c r="B35" s="196"/>
      <c r="C35" s="54">
        <v>1.2</v>
      </c>
      <c r="D35" s="115">
        <v>9.6</v>
      </c>
      <c r="E35" s="115">
        <v>239</v>
      </c>
    </row>
    <row r="36" spans="2:5" ht="30" customHeight="1" x14ac:dyDescent="0.25">
      <c r="B36" s="196"/>
      <c r="C36" s="54">
        <v>1.5</v>
      </c>
      <c r="D36" s="115">
        <v>12</v>
      </c>
      <c r="E36" s="115">
        <v>244</v>
      </c>
    </row>
    <row r="37" spans="2:5" ht="30" customHeight="1" x14ac:dyDescent="0.25">
      <c r="B37" s="197"/>
      <c r="C37" s="54">
        <v>2</v>
      </c>
      <c r="D37" s="115">
        <v>16</v>
      </c>
      <c r="E37" s="115">
        <v>237</v>
      </c>
    </row>
    <row r="38" spans="2:5" ht="30" customHeight="1" x14ac:dyDescent="0.25">
      <c r="B38" s="211">
        <v>310</v>
      </c>
      <c r="C38" s="55">
        <v>0.8</v>
      </c>
      <c r="D38" s="190">
        <v>6.4</v>
      </c>
      <c r="E38" s="190" t="s">
        <v>191</v>
      </c>
    </row>
    <row r="39" spans="2:5" ht="30" customHeight="1" x14ac:dyDescent="0.25">
      <c r="B39" s="211"/>
      <c r="C39" s="55">
        <v>1</v>
      </c>
      <c r="D39" s="190">
        <v>8</v>
      </c>
      <c r="E39" s="190" t="s">
        <v>191</v>
      </c>
    </row>
    <row r="40" spans="2:5" ht="30" customHeight="1" x14ac:dyDescent="0.25">
      <c r="B40" s="198">
        <v>316</v>
      </c>
      <c r="C40" s="56">
        <v>0.5</v>
      </c>
      <c r="D40" s="107">
        <v>4</v>
      </c>
      <c r="E40" s="107">
        <v>283</v>
      </c>
    </row>
    <row r="41" spans="2:5" ht="30" customHeight="1" x14ac:dyDescent="0.25">
      <c r="B41" s="199"/>
      <c r="C41" s="107">
        <v>0.8</v>
      </c>
      <c r="D41" s="107">
        <v>6.4</v>
      </c>
      <c r="E41" s="107">
        <v>278</v>
      </c>
    </row>
    <row r="42" spans="2:5" ht="30" customHeight="1" x14ac:dyDescent="0.25">
      <c r="B42" s="199"/>
      <c r="C42" s="56">
        <v>1</v>
      </c>
      <c r="D42" s="107">
        <v>8</v>
      </c>
      <c r="E42" s="107">
        <v>299</v>
      </c>
    </row>
    <row r="43" spans="2:5" ht="30" customHeight="1" x14ac:dyDescent="0.25">
      <c r="B43" s="199"/>
      <c r="C43" s="56">
        <v>1.2</v>
      </c>
      <c r="D43" s="107">
        <v>9.6</v>
      </c>
      <c r="E43" s="107">
        <v>305</v>
      </c>
    </row>
    <row r="44" spans="2:5" x14ac:dyDescent="0.25">
      <c r="B44" s="199"/>
      <c r="C44" s="56">
        <v>1.5</v>
      </c>
      <c r="D44" s="107">
        <v>12</v>
      </c>
      <c r="E44" s="107">
        <v>276</v>
      </c>
    </row>
    <row r="45" spans="2:5" x14ac:dyDescent="0.25">
      <c r="B45" s="200"/>
      <c r="C45" s="56">
        <v>2</v>
      </c>
      <c r="D45" s="107">
        <v>16</v>
      </c>
      <c r="E45" s="107">
        <v>288</v>
      </c>
    </row>
    <row r="46" spans="2:5" x14ac:dyDescent="0.25">
      <c r="B46" s="203" t="s">
        <v>90</v>
      </c>
      <c r="C46" s="110">
        <v>3</v>
      </c>
      <c r="D46" s="168">
        <v>24</v>
      </c>
      <c r="E46" s="168">
        <v>46.5</v>
      </c>
    </row>
    <row r="47" spans="2:5" x14ac:dyDescent="0.25">
      <c r="B47" s="204"/>
      <c r="C47" s="110">
        <v>5</v>
      </c>
      <c r="D47" s="168">
        <v>40</v>
      </c>
      <c r="E47" s="168">
        <v>46.3</v>
      </c>
    </row>
    <row r="48" spans="2:5" x14ac:dyDescent="0.25">
      <c r="B48" s="205"/>
      <c r="C48" s="110">
        <v>8</v>
      </c>
      <c r="D48" s="168">
        <v>64</v>
      </c>
      <c r="E48" s="168">
        <v>46.3</v>
      </c>
    </row>
    <row r="49" spans="2:5" x14ac:dyDescent="0.25">
      <c r="B49" s="189" t="s">
        <v>190</v>
      </c>
      <c r="C49" s="110">
        <v>5</v>
      </c>
      <c r="D49" s="168">
        <v>39.299999999999997</v>
      </c>
      <c r="E49" s="168" t="s">
        <v>191</v>
      </c>
    </row>
    <row r="50" spans="2:5" x14ac:dyDescent="0.25">
      <c r="B50" s="111" t="s">
        <v>33</v>
      </c>
      <c r="C50" s="111">
        <v>1.5</v>
      </c>
      <c r="D50" s="111">
        <v>12</v>
      </c>
      <c r="E50" s="111">
        <v>52.25</v>
      </c>
    </row>
  </sheetData>
  <mergeCells count="9">
    <mergeCell ref="B46:B48"/>
    <mergeCell ref="B3:B8"/>
    <mergeCell ref="B9:B15"/>
    <mergeCell ref="B16:B22"/>
    <mergeCell ref="B23:B28"/>
    <mergeCell ref="B29:B31"/>
    <mergeCell ref="B32:B37"/>
    <mergeCell ref="B38:B39"/>
    <mergeCell ref="B40:B45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49"/>
  <sheetViews>
    <sheetView topLeftCell="L1" zoomScaleNormal="100" workbookViewId="0">
      <selection activeCell="AG5" sqref="AG5"/>
    </sheetView>
  </sheetViews>
  <sheetFormatPr defaultRowHeight="15" x14ac:dyDescent="0.25"/>
  <cols>
    <col min="40" max="40" width="15.7109375" customWidth="1"/>
    <col min="45" max="45" width="15.7109375" customWidth="1"/>
    <col min="46" max="46" width="10.28515625" bestFit="1" customWidth="1"/>
  </cols>
  <sheetData>
    <row r="1" spans="1:48" ht="30" customHeight="1" x14ac:dyDescent="0.25">
      <c r="E1" s="181"/>
    </row>
    <row r="2" spans="1:48" ht="30" customHeight="1" x14ac:dyDescent="0.25">
      <c r="E2" s="181"/>
      <c r="AC2" s="180" t="s">
        <v>169</v>
      </c>
      <c r="AD2" s="180" t="s">
        <v>170</v>
      </c>
      <c r="AE2" s="180" t="s">
        <v>171</v>
      </c>
    </row>
    <row r="3" spans="1:48" ht="30" customHeight="1" x14ac:dyDescent="0.25">
      <c r="E3" s="181"/>
      <c r="AC3" s="180">
        <f>Труба!B3</f>
        <v>500</v>
      </c>
      <c r="AD3" s="180">
        <f>Труба!E3</f>
        <v>600</v>
      </c>
      <c r="AE3" s="180" t="str">
        <f>Труба!H3</f>
        <v>Диаметр</v>
      </c>
    </row>
    <row r="4" spans="1:48" ht="30" customHeight="1" x14ac:dyDescent="0.25">
      <c r="A4" s="180"/>
      <c r="B4" s="180"/>
      <c r="C4" s="180"/>
      <c r="D4" s="180"/>
      <c r="E4" s="180"/>
      <c r="F4" s="180"/>
      <c r="G4" s="180"/>
      <c r="H4" s="180"/>
      <c r="I4" s="180"/>
      <c r="J4" s="260" t="s">
        <v>172</v>
      </c>
      <c r="K4" s="260"/>
      <c r="L4" s="260" t="s">
        <v>173</v>
      </c>
      <c r="M4" s="260"/>
      <c r="N4" s="260" t="s">
        <v>184</v>
      </c>
      <c r="O4" s="260"/>
      <c r="P4" s="260" t="s">
        <v>174</v>
      </c>
      <c r="Q4" s="260"/>
      <c r="R4" s="260" t="s">
        <v>175</v>
      </c>
      <c r="S4" s="260"/>
      <c r="T4" s="260" t="s">
        <v>165</v>
      </c>
      <c r="U4" s="260"/>
      <c r="V4" s="260" t="s">
        <v>183</v>
      </c>
      <c r="W4" s="260"/>
      <c r="X4" s="180" t="s">
        <v>42</v>
      </c>
      <c r="AH4" s="259" t="s">
        <v>176</v>
      </c>
      <c r="AI4" s="259"/>
      <c r="AJ4" s="259" t="s">
        <v>177</v>
      </c>
      <c r="AK4" s="259"/>
      <c r="AL4" s="259" t="s">
        <v>178</v>
      </c>
      <c r="AM4" s="259"/>
      <c r="AN4" s="182"/>
      <c r="AS4" s="183"/>
      <c r="AT4" s="180" t="s">
        <v>179</v>
      </c>
      <c r="AU4" s="180" t="s">
        <v>180</v>
      </c>
      <c r="AV4" s="180" t="s">
        <v>181</v>
      </c>
    </row>
    <row r="5" spans="1:48" ht="30" customHeight="1" x14ac:dyDescent="0.25">
      <c r="A5" s="180">
        <v>1</v>
      </c>
      <c r="B5" s="180">
        <v>100</v>
      </c>
      <c r="C5" s="180"/>
      <c r="D5" s="180"/>
      <c r="E5" s="180" t="str">
        <f>H9&amp;"/"&amp;I9</f>
        <v>100/200</v>
      </c>
      <c r="F5" s="180" t="s">
        <v>182</v>
      </c>
      <c r="G5" s="180"/>
      <c r="H5" s="180"/>
      <c r="I5" s="180">
        <v>100</v>
      </c>
      <c r="J5" s="180">
        <v>1.85</v>
      </c>
      <c r="K5" s="180">
        <v>1.85</v>
      </c>
      <c r="L5" s="180">
        <v>2.2000000000000002</v>
      </c>
      <c r="M5" s="180">
        <v>2.2000000000000002</v>
      </c>
      <c r="N5" s="184">
        <v>1.43</v>
      </c>
      <c r="O5" s="184">
        <v>1.43</v>
      </c>
      <c r="P5" s="180">
        <v>2.63</v>
      </c>
      <c r="Q5" s="180">
        <v>2.63</v>
      </c>
      <c r="R5" s="180">
        <v>2</v>
      </c>
      <c r="S5" s="180">
        <v>2</v>
      </c>
      <c r="T5" s="180">
        <v>2.34</v>
      </c>
      <c r="U5" s="180">
        <v>2.34</v>
      </c>
      <c r="V5" s="180">
        <v>2.2000000000000002</v>
      </c>
      <c r="W5" s="180">
        <v>2.2000000000000002</v>
      </c>
      <c r="X5" s="184">
        <v>0.2</v>
      </c>
      <c r="AG5" s="180" t="str">
        <f>IF(AND(AE3="Диаметр",AD3="Диаметр",AC3="Диаметр"),"-",IF(AND(AE3="Диаметр",AD3="Диаметр",AC3&lt;&gt;"Диаметр"),"1 контур",IF(AND(AE3="Диаметр",AD3&lt;&gt;"Диаметр",AC3&lt;&gt;"Диаметр"),"2 контура",IF(AND(AE3&lt;&gt;"Диаметр",AD3&lt;&gt;"Диаметр",AC3&lt;&gt;"Диаметр"),"3 контура","-"))))</f>
        <v>2 контура</v>
      </c>
      <c r="AH5" s="180">
        <f t="array" ref="AH5">LARGE((AC3&gt;$B$5:$B$49)*(ROW($B$5:$B$49)-ROW($AH$4)),COLUMN()-COLUMN($AG$4))</f>
        <v>18</v>
      </c>
      <c r="AI5" s="180">
        <f>IF(AC3="","-",VLOOKUP(AH5+1,$A$5:$B$49,2,0))</f>
        <v>500</v>
      </c>
      <c r="AJ5" s="180">
        <f t="array" ref="AJ5">IF(AD3="Диаметр","-",LARGE((AD3&gt;$B$5:$B$49)*(ROW($B$5:$B$49)-ROW($AJ$4)),COLUMN()-COLUMN($AI$4)))</f>
        <v>22</v>
      </c>
      <c r="AK5" s="180">
        <f>IF(AD3="Диаметр","-",VLOOKUP(AJ5+1,$A$5:$B$49,2,0))</f>
        <v>600</v>
      </c>
      <c r="AL5" s="180" t="str">
        <f t="array" ref="AL5">IF(AE3="Диаметр","-",LARGE((AE3&gt;$B$5:$B$49)*(ROW($B$5:$B$49)-ROW($AL$4)),COLUMN()-COLUMN($AK$4)))</f>
        <v>-</v>
      </c>
      <c r="AM5" s="180" t="str">
        <f>IF(AE3="Диаметр","-",VLOOKUP(AL5+1,$A$5:$B$49,2,0))</f>
        <v>-</v>
      </c>
      <c r="AN5" s="180" t="str">
        <f>IF(AG5="1 контур","Стандарт",IF(AND(AG5="2 контура",OR(AK5=AO5,AK5=AP5,AK5=AQ5)),"Стандарт",IF(AND(AG5="3 контура",OR(AM5=AO5,AM5=AP5,AM5=AQ5)),"Стандарт","Нестандарт")))</f>
        <v>Стандарт</v>
      </c>
      <c r="AO5" s="180">
        <f t="array" ref="AO5:AQ5">IF(LARGE((IF(AG5="2 контура",AI5=$H$5:$H$49,IF(AG5="3 контура",AK5=$H$5:$H$49,0)))*(ROW($H$5:$H$49)-ROW($AO$4)),COLUMN()-COLUMN($AN$4))&gt;0,INDEX($I$5:$I$49,LARGE((IF(AG5="2 контура",AI5=$H$5:$H$49,IF(AG5="3 контура",AK5=$H$5:$H$49,0)))*(ROW($H$5:$H$49)-ROW($AO$4)),COLUMN()-COLUMN($AN$4)),1),"-")</f>
        <v>600</v>
      </c>
      <c r="AP5" s="180">
        <v>560</v>
      </c>
      <c r="AQ5" s="180" t="str">
        <v>-</v>
      </c>
      <c r="AR5" s="180"/>
      <c r="AS5" s="183" t="s">
        <v>105</v>
      </c>
      <c r="AT5" s="180">
        <f>IF($AG$5="-",0,IF($AG$5="1 контур",VLOOKUP($AI$5,$I$5:$X$49,3,0),IF(AND($AG$5="2 контура",$AN$5="Стандарт"),VLOOKUP($AK$5,$I$5:$X$49,2,0),IF(AND($AG$5="2 Контура",$AN$5="Нестандарт"),VLOOKUP($AI$5,$I$5:$X$49,2,0),IF($AG$5="3 контура",VLOOKUP($AI$5,$I$5:$X$49,2,0)*1.15,"-")))))</f>
        <v>1.22</v>
      </c>
      <c r="AU5" s="180">
        <f>IF($AG$5="-",0,IF($AG$5="1 контур",1,IF($AG$5="2 контура",VLOOKUP($AK$5,$I$5:$X$49,3,0),IF(AND($AG$5="3 контура",$AN$5="Стандарт"),VLOOKUP($AM$5,$I$5:$X$49,2,0),IF(AND($AG$5="3 контура",$AN$5="Нестандарт"),VLOOKUP($AK$5,$I$5:$X$49,2,0),"-")))))</f>
        <v>1.21</v>
      </c>
      <c r="AV5" s="184">
        <f>IF($AG$5="-",0,IF($AG$5="1 контур",1,IF($AG$5="2 контура",1,IF(AND($AG$5="3 контура",$AN$5="Стандарт"),VLOOKUP($AM$5,$I$5:$X$49,3,0),IF(AND($AG$5="3 контура",$AN$5="Нестандарт"),VLOOKUP($AM$5,$I$5:$X$49,3,0),"-")))))</f>
        <v>1</v>
      </c>
    </row>
    <row r="6" spans="1:48" ht="30" customHeight="1" x14ac:dyDescent="0.25">
      <c r="A6" s="180">
        <v>2</v>
      </c>
      <c r="B6" s="180">
        <v>150</v>
      </c>
      <c r="C6" s="180"/>
      <c r="D6" s="180"/>
      <c r="E6" s="180" t="str">
        <f t="shared" ref="E6:E45" si="0">H10&amp;"/"&amp;I10</f>
        <v>150/210</v>
      </c>
      <c r="F6" s="180" t="s">
        <v>182</v>
      </c>
      <c r="G6" s="180"/>
      <c r="H6" s="180"/>
      <c r="I6" s="180">
        <v>150</v>
      </c>
      <c r="J6" s="180">
        <v>1.76</v>
      </c>
      <c r="K6" s="180">
        <v>1.76</v>
      </c>
      <c r="L6" s="180">
        <v>1.43</v>
      </c>
      <c r="M6" s="180">
        <v>1.43</v>
      </c>
      <c r="N6" s="184">
        <v>1</v>
      </c>
      <c r="O6" s="184">
        <v>1</v>
      </c>
      <c r="P6" s="180">
        <v>1.4000000000000001</v>
      </c>
      <c r="Q6" s="180">
        <v>1.4000000000000001</v>
      </c>
      <c r="R6" s="180">
        <v>1.1500000000000001</v>
      </c>
      <c r="S6" s="180">
        <v>1.1500000000000001</v>
      </c>
      <c r="T6" s="180">
        <v>1.28</v>
      </c>
      <c r="U6" s="180">
        <v>1.28</v>
      </c>
      <c r="V6" s="180">
        <v>1.4</v>
      </c>
      <c r="W6" s="180">
        <v>1.4</v>
      </c>
      <c r="X6" s="184">
        <v>0.2</v>
      </c>
      <c r="AS6" s="183" t="s">
        <v>106</v>
      </c>
      <c r="AT6" s="184">
        <f>IF($AG$5="-",0,IF($AG$5="1 контур",VLOOKUP($AI$5,$I$5:$X$49,5,0),IF(AND($AG$5="2 контура",$AN$5="Стандарт"),VLOOKUP($AK$5,$I$5:$X$49,4,0),IF(AND($AG$5="2 Контура",$AN$5="Нестандарт"),VLOOKUP($AI$5,$I$5:$X$49,4,0),IF($AG$5="3 контура",VLOOKUP($AI$5,$I$5:$X$49,4,0)*1.15,"-")))))</f>
        <v>1.48</v>
      </c>
      <c r="AU6" s="184">
        <f>IF($AG$5="-",0,IF($AG$5="1 контур",1,IF($AG$5="2 контура",VLOOKUP($AK$5,$I$5:$X$49,5,0),IF(AND($AG$5="3 контура",$AN$5="Стандарт"),VLOOKUP($AM$5,$I$5:$X$49,4,0),IF(AND($AG$5="3 контура",$AN$5="Нестандарт"),VLOOKUP($AK$5,$I$5:$X$49,4,0),"-")))))</f>
        <v>1.23</v>
      </c>
      <c r="AV6" s="184">
        <f>IF($AG$5="-",0,IF($AG$5="1 контур",1,IF($AG$5="2 контура",1,IF(AND($AG$5="3 контура",$AN$5="Стандарт"),VLOOKUP($AM$5,$I$5:$X$49,5,0),IF(AND($AG$5="3 контура",$AN$5="Нестандарт"),VLOOKUP($AM$5,$I$5:$X$49,5,0),"-")))))</f>
        <v>1</v>
      </c>
    </row>
    <row r="7" spans="1:48" ht="30" customHeight="1" x14ac:dyDescent="0.25">
      <c r="A7" s="180">
        <v>3</v>
      </c>
      <c r="B7" s="180">
        <v>160</v>
      </c>
      <c r="C7" s="180"/>
      <c r="D7" s="180"/>
      <c r="E7" s="180" t="str">
        <f t="shared" si="0"/>
        <v>160/220</v>
      </c>
      <c r="F7" s="180" t="s">
        <v>182</v>
      </c>
      <c r="G7" s="180"/>
      <c r="H7" s="180"/>
      <c r="I7" s="180">
        <v>160</v>
      </c>
      <c r="J7" s="180">
        <v>1.69</v>
      </c>
      <c r="K7" s="180">
        <v>1.69</v>
      </c>
      <c r="L7" s="180">
        <v>1.27</v>
      </c>
      <c r="M7" s="180">
        <v>1.27</v>
      </c>
      <c r="N7" s="184">
        <v>1.19</v>
      </c>
      <c r="O7" s="184">
        <v>1.19</v>
      </c>
      <c r="P7" s="180">
        <v>1.6</v>
      </c>
      <c r="Q7" s="180">
        <v>1.6</v>
      </c>
      <c r="R7" s="180">
        <v>1.22</v>
      </c>
      <c r="S7" s="180">
        <v>1.22</v>
      </c>
      <c r="T7" s="180">
        <v>1.37</v>
      </c>
      <c r="U7" s="180">
        <v>1.37</v>
      </c>
      <c r="V7" s="180">
        <v>1.3800000000000001</v>
      </c>
      <c r="W7" s="180">
        <v>1.3800000000000001</v>
      </c>
      <c r="X7" s="184">
        <v>0.2</v>
      </c>
      <c r="AS7" s="183" t="s">
        <v>19</v>
      </c>
      <c r="AT7" s="184">
        <f>IF($AG$5="-",0,IF($AG$5="1 контур",VLOOKUP($AI$5,$I$5:$X$49,3,0),IF(AND($AG$5="2 контура",$AN$5="Стандарт"),VLOOKUP($AK$5,$I$5:$X$49,2,0),IF(AND($AG$5="2 Контура",$AN$5="Нестандарт"),VLOOKUP($AI$5,$I$5:$X$49,2,0),IF($AG$5="3 контура",VLOOKUP($AI$5,$I$5:$X$49,2,0)*1.15,"-")))))</f>
        <v>1.22</v>
      </c>
      <c r="AU7" s="184">
        <f>IF($AG$5="-",0,IF($AG$5="1 контур",1,IF($AG$5="2 контура",VLOOKUP($AK$5,$I$5:$X$49,3,0),IF(AND($AG$5="3 контура",$AN$5="Стандарт"),VLOOKUP($AM$5,$I$5:$X$49,2,0),IF(AND($AG$5="3 контура",$AN$5="Нестандарт"),VLOOKUP($AK$5,$I$5:$X$49,2,0),"-")))))</f>
        <v>1.21</v>
      </c>
      <c r="AV7" s="184">
        <f>IF($AG$5="-",0,IF($AG$5="1 контур",1,IF($AG$5="2 контура",1,IF(AND($AG$5="3 контура",$AN$5="Стандарт"),VLOOKUP($AM$5,$I$5:$X$49,3,0),IF(AND($AG$5="3 контура",$AN$5="Нестандарт"),VLOOKUP($AM$5,$I$5:$X$49,3,0),"-")))))</f>
        <v>1</v>
      </c>
    </row>
    <row r="8" spans="1:48" ht="30" customHeight="1" x14ac:dyDescent="0.25">
      <c r="A8" s="180">
        <v>4</v>
      </c>
      <c r="B8" s="180">
        <v>180</v>
      </c>
      <c r="C8" s="180"/>
      <c r="D8" s="180"/>
      <c r="E8" s="180" t="str">
        <f t="shared" si="0"/>
        <v>180/240</v>
      </c>
      <c r="F8" s="180" t="s">
        <v>182</v>
      </c>
      <c r="G8" s="180"/>
      <c r="H8" s="180"/>
      <c r="I8" s="180">
        <v>180</v>
      </c>
      <c r="J8" s="180">
        <v>1.61</v>
      </c>
      <c r="K8" s="180">
        <v>1.61</v>
      </c>
      <c r="L8" s="180">
        <v>1.23</v>
      </c>
      <c r="M8" s="180">
        <v>1.23</v>
      </c>
      <c r="N8" s="184">
        <v>1.0900000000000001</v>
      </c>
      <c r="O8" s="184">
        <v>1.0900000000000001</v>
      </c>
      <c r="P8" s="180">
        <v>1.42</v>
      </c>
      <c r="Q8" s="180">
        <v>1.42</v>
      </c>
      <c r="R8" s="180">
        <v>1.1400000000000001</v>
      </c>
      <c r="S8" s="180">
        <v>1.1400000000000001</v>
      </c>
      <c r="T8" s="180">
        <v>1.25</v>
      </c>
      <c r="U8" s="180">
        <v>1.25</v>
      </c>
      <c r="V8" s="180">
        <v>1.34</v>
      </c>
      <c r="W8" s="180">
        <v>1.34</v>
      </c>
      <c r="X8" s="184">
        <v>0.24</v>
      </c>
      <c r="AS8" s="183" t="s">
        <v>184</v>
      </c>
      <c r="AT8" s="184">
        <f>IF($AG$5="-",0,IF($AG$5="1 контур",VLOOKUP($AI$5,$I$5:$X$49,7,0),IF(AND($AG$5="2 контура",$AN$5="Стандарт"),VLOOKUP($AK$5,$I$5:$X$49,6,0),IF(AND($AG$5="2 Контура",$AN$5="Нестандарт"),VLOOKUP($AI$5,$I$5:$X$49,6,0),IF($AG$5="3 контура",VLOOKUP($AI$5,$I$5:$X$49,6,0)*1.15,"-")))))</f>
        <v>1.32</v>
      </c>
      <c r="AU8" s="184">
        <f>IF($AG$5="-",0,IF($AG$5="1 контур",1,IF($AG$5="2 контура",VLOOKUP($AK$5,$I$5:$X$49,7,0),IF(AND($AG$5="3 контура",$AN$5="Стандарт"),VLOOKUP($AM$5,$I$5:$X$49,6,0),IF(AND($AG$5="3 контура",$AN$5="Нестандарт"),VLOOKUP($AK$5,$I$5:$X$49,6,0),"-")))))</f>
        <v>1.92</v>
      </c>
      <c r="AV8" s="184">
        <f>IF($AG$5="-",0,IF($AG$5="1 контур",1,IF($AG$5="2 контура",1,IF(AND($AG$5="3 контура",$AN$5="Стандарт"),VLOOKUP($AM$5,$I$5:$X$49,7,0),IF(AND($AG$5="3 контура",$AN$5="Нестандарт"),VLOOKUP($AM$5,$I$5:$X$49,7,0),"-")))))</f>
        <v>1</v>
      </c>
    </row>
    <row r="9" spans="1:48" ht="30" customHeight="1" x14ac:dyDescent="0.25">
      <c r="A9" s="180">
        <v>5</v>
      </c>
      <c r="B9" s="180">
        <v>200</v>
      </c>
      <c r="C9" s="180"/>
      <c r="D9" s="180"/>
      <c r="E9" s="180" t="str">
        <f t="shared" si="0"/>
        <v>150/250</v>
      </c>
      <c r="F9" s="180" t="s">
        <v>182</v>
      </c>
      <c r="G9" s="180"/>
      <c r="H9" s="180">
        <v>100</v>
      </c>
      <c r="I9" s="180">
        <v>200</v>
      </c>
      <c r="J9" s="180">
        <v>1.85</v>
      </c>
      <c r="K9" s="180">
        <v>1.69</v>
      </c>
      <c r="L9" s="180">
        <v>2.2000000000000002</v>
      </c>
      <c r="M9" s="180">
        <v>1.95</v>
      </c>
      <c r="N9" s="184">
        <v>1.43</v>
      </c>
      <c r="O9" s="184">
        <v>1.97</v>
      </c>
      <c r="P9" s="180">
        <v>2.63</v>
      </c>
      <c r="Q9" s="180">
        <v>2.74</v>
      </c>
      <c r="R9" s="180">
        <v>2</v>
      </c>
      <c r="S9" s="180">
        <v>2.4700000000000002</v>
      </c>
      <c r="T9" s="180">
        <v>2.34</v>
      </c>
      <c r="U9" s="180">
        <v>2.25</v>
      </c>
      <c r="V9" s="180">
        <v>2.2000000000000002</v>
      </c>
      <c r="W9" s="180">
        <v>2.56</v>
      </c>
      <c r="X9" s="184">
        <v>0.2</v>
      </c>
      <c r="AS9" s="183" t="s">
        <v>107</v>
      </c>
      <c r="AT9" s="184">
        <f>IF($AG$5="-",0,IF($AG$5="1 контур",VLOOKUP($AI$5,$I$5:$X$49,9,0),IF(AND($AG$5="2 контура",$AN$5="Стандарт"),VLOOKUP($AK$5,$I$5:$X$49,8,0),IF(AND($AG$5="2 Контура",$AN$5="Нестандарт"),VLOOKUP($AI$5,$I$5:$X$49,8,0),IF($AG$5="3 контура",VLOOKUP($AI$5,$I$5:$X$49,8,0)*1.15,"-")))))</f>
        <v>1.48</v>
      </c>
      <c r="AU9" s="184">
        <f>IF($AG$5="-",0,IF($AG$5="1 контур",1,IF($AG$5="2 контура",VLOOKUP($AK$5,$I$5:$X$49,9,0),IF(AND($AG$5="3 контура",$AN$5="Стандарт"),VLOOKUP($AM$5,$I$5:$X$49,8,0),IF(AND($AG$5="3 контура",$AN$5="Нестандарт"),VLOOKUP($AK$5,$I$5:$X$49,8,0),"-")))))</f>
        <v>1.22</v>
      </c>
      <c r="AV9" s="184">
        <f>IF($AG$5="-",0,IF($AG$5="1 контур",1,IF($AG$5="2 контура",1,IF(AND($AG$5="3 контура",$AN$5="Стандарт"),VLOOKUP($AM$5,$I$5:$X$49,9,0),IF(AND($AG$5="3 контура",$AN$5="Нестандарт"),VLOOKUP($AM$5,$I$5:$X$49,9,0),"-")))))</f>
        <v>1</v>
      </c>
    </row>
    <row r="10" spans="1:48" ht="30" customHeight="1" x14ac:dyDescent="0.25">
      <c r="A10" s="180">
        <v>6</v>
      </c>
      <c r="B10" s="180">
        <v>210</v>
      </c>
      <c r="C10" s="180"/>
      <c r="D10" s="180"/>
      <c r="E10" s="180" t="str">
        <f t="shared" si="0"/>
        <v>200/260</v>
      </c>
      <c r="F10" s="180" t="s">
        <v>182</v>
      </c>
      <c r="G10" s="180"/>
      <c r="H10" s="180">
        <v>150</v>
      </c>
      <c r="I10" s="180">
        <v>210</v>
      </c>
      <c r="J10" s="180">
        <v>1.76</v>
      </c>
      <c r="K10" s="180">
        <v>1.59</v>
      </c>
      <c r="L10" s="180">
        <v>1.43</v>
      </c>
      <c r="M10" s="180">
        <v>1.81</v>
      </c>
      <c r="N10" s="184">
        <v>1</v>
      </c>
      <c r="O10" s="184">
        <v>1.83</v>
      </c>
      <c r="P10" s="180">
        <v>1.4000000000000001</v>
      </c>
      <c r="Q10" s="180">
        <v>1.96</v>
      </c>
      <c r="R10" s="180">
        <v>1.1500000000000001</v>
      </c>
      <c r="S10" s="180">
        <v>1.95</v>
      </c>
      <c r="T10" s="180">
        <v>1.28</v>
      </c>
      <c r="U10" s="180">
        <v>1.8</v>
      </c>
      <c r="V10" s="180">
        <v>1.3800000000000001</v>
      </c>
      <c r="W10" s="180">
        <v>2.1</v>
      </c>
      <c r="X10" s="184">
        <v>0.2</v>
      </c>
      <c r="AS10" s="183" t="s">
        <v>168</v>
      </c>
      <c r="AT10" s="184">
        <f>IF($AG$5="-",0,IF($AG$5="1 контур",VLOOKUP($AI$5,$I$5:$X$49,11,0),IF(AND($AG$5="2 контура",$AN$5="Стандарт"),VLOOKUP($AK$5,$I$5:$X$49,10,0),IF(AND($AG$5="2 Контура",$AN$5="Нестандарт"),VLOOKUP($AI$5,$I$5:$X$49,10,0),IF($AG$5="3 контура",VLOOKUP($AI$5,$I$5:$X$49,10,0)*1.15,"-")))))</f>
        <v>1.07</v>
      </c>
      <c r="AU10" s="184">
        <f>IF($AG$5="-",0,IF($AG$5="1 контур",1,IF($AG$5="2 контура",VLOOKUP($AK$5,$I$5:$X$49,11,0),IF(AND($AG$5="3 контура",$AN$5="Стандарт"),VLOOKUP($AM$5,$I$5:$X$49,10,0),IF(AND($AG$5="3 контура",$AN$5="Нестандарт"),VLOOKUP($AK$5,$I$5:$X$49,10,0),"-")))))</f>
        <v>1.1200000000000001</v>
      </c>
      <c r="AV10" s="184">
        <f>IF($AG$5="-",0,IF($AG$5="1 контур",1,IF($AG$5="2 контура",1,IF(AND($AG$5="3 контура",$AN$5="Стандарт"),VLOOKUP($AM$5,$I$5:$X$49,11,0),IF(AND($AG$5="3 контура",$AN$5="Нестандарт"),VLOOKUP($AM$5,$I$5:$X$49,11,0),"-")))))</f>
        <v>1</v>
      </c>
    </row>
    <row r="11" spans="1:48" ht="30" customHeight="1" x14ac:dyDescent="0.25">
      <c r="A11" s="180">
        <v>7</v>
      </c>
      <c r="B11" s="180">
        <v>220</v>
      </c>
      <c r="C11" s="180"/>
      <c r="D11" s="180"/>
      <c r="E11" s="180" t="str">
        <f t="shared" si="0"/>
        <v>200/300</v>
      </c>
      <c r="F11" s="180" t="s">
        <v>182</v>
      </c>
      <c r="G11" s="180"/>
      <c r="H11" s="180">
        <v>160</v>
      </c>
      <c r="I11" s="180">
        <v>220</v>
      </c>
      <c r="J11" s="180">
        <v>1.69</v>
      </c>
      <c r="K11" s="180">
        <v>1.53</v>
      </c>
      <c r="L11" s="180">
        <v>1.27</v>
      </c>
      <c r="M11" s="180">
        <v>1.37</v>
      </c>
      <c r="N11" s="184">
        <v>1.19</v>
      </c>
      <c r="O11" s="184">
        <v>2.56</v>
      </c>
      <c r="P11" s="180">
        <v>1.6</v>
      </c>
      <c r="Q11" s="180">
        <v>1.84</v>
      </c>
      <c r="R11" s="180">
        <v>1.22</v>
      </c>
      <c r="S11" s="180">
        <v>1.48</v>
      </c>
      <c r="T11" s="180">
        <v>1.37</v>
      </c>
      <c r="U11" s="180">
        <v>1.71</v>
      </c>
      <c r="V11" s="180">
        <v>1.3800000000000001</v>
      </c>
      <c r="W11" s="180">
        <v>2.08</v>
      </c>
      <c r="X11" s="184">
        <v>0.2</v>
      </c>
      <c r="AS11" s="183" t="s">
        <v>166</v>
      </c>
      <c r="AT11" s="184">
        <f>IF($AG$5="-",0,IF($AG$5="1 контур",VLOOKUP($AI$5,$I$5:$X$49,13,0),IF(AND($AG$5="2 контура",$AN$5="Стандарт"),VLOOKUP($AK$5,$I$5:$X$49,12,0),IF(AND($AG$5="2 Контура",$AN$5="Нестандарт"),VLOOKUP($AI$5,$I$5:$X$49,12,0),IF($AG$5="3 контура",VLOOKUP($AI$5,$I$5:$X$49,12,0)*1.15,"-")))))</f>
        <v>1.42</v>
      </c>
      <c r="AU11" s="184">
        <f>IF($AG$5="-",0,IF($AG$5="1 контур",1,IF($AG$5="2 контура",VLOOKUP($AK$5,$I$5:$X$49,13,0),IF(AND($AG$5="3 контура",$AN$5="Стандарт"),VLOOKUP($AM$5,$I$5:$X$49,12,0),IF(AND($AG$5="3 контура",$AN$5="Нестандарт"),VLOOKUP($AK$5,$I$5:$X$49,12,0),"-")))))</f>
        <v>1.19</v>
      </c>
      <c r="AV11" s="184">
        <f>IF($AG$5="-",0,IF($AG$5="1 контур",1,IF($AG$5="2 контура",1,IF(AND($AG$5="3 контура",$AN$5="Стандарт"),VLOOKUP($AM$5,$I$5:$X$49,13,0),IF(AND($AG$5="3 контура",$AN$5="Нестандарт"),VLOOKUP($AM$5,$I$5:$X$49,13,0),"-")))))</f>
        <v>1</v>
      </c>
    </row>
    <row r="12" spans="1:48" ht="30" customHeight="1" x14ac:dyDescent="0.25">
      <c r="A12" s="180">
        <v>8</v>
      </c>
      <c r="B12" s="180">
        <v>240</v>
      </c>
      <c r="C12" s="180"/>
      <c r="D12" s="180"/>
      <c r="E12" s="180" t="str">
        <f t="shared" si="0"/>
        <v>250/310</v>
      </c>
      <c r="F12" s="180" t="s">
        <v>182</v>
      </c>
      <c r="G12" s="180"/>
      <c r="H12" s="180">
        <v>180</v>
      </c>
      <c r="I12" s="180">
        <v>240</v>
      </c>
      <c r="J12" s="180">
        <v>1.61</v>
      </c>
      <c r="K12" s="180">
        <v>1.4000000000000001</v>
      </c>
      <c r="L12" s="180">
        <v>1.23</v>
      </c>
      <c r="M12" s="180">
        <v>1.2</v>
      </c>
      <c r="N12" s="184">
        <v>1.0900000000000001</v>
      </c>
      <c r="O12" s="184">
        <v>2.3199999999999998</v>
      </c>
      <c r="P12" s="180">
        <v>1.42</v>
      </c>
      <c r="Q12" s="180">
        <v>1.87</v>
      </c>
      <c r="R12" s="180">
        <v>1.1400000000000001</v>
      </c>
      <c r="S12" s="180">
        <v>1.53</v>
      </c>
      <c r="T12" s="180">
        <v>1.25</v>
      </c>
      <c r="U12" s="180">
        <v>1.75</v>
      </c>
      <c r="V12" s="180">
        <v>1.34</v>
      </c>
      <c r="W12" s="180">
        <v>1.92</v>
      </c>
      <c r="X12" s="184">
        <v>0.24</v>
      </c>
      <c r="AS12" s="183" t="s">
        <v>167</v>
      </c>
      <c r="AT12" s="184">
        <f>IF($AG$5="-",0,IF($AG$5="1 контур",VLOOKUP($AI$5,$I$5:$X$49,15,0),IF(AND($AG$5="2 контура",$AN$5="Стандарт"),VLOOKUP($AK$5,$I$5:$X$49,14,0),IF(AND($AG$5="2 Контура",$AN$5="Нестандарт"),VLOOKUP($AI$5,$I$5:$X$49,14,0),IF($AG$5="3 контура",VLOOKUP($AI$5,$I$5:$X$49,14,0)*1.15,"-")))))</f>
        <v>1.41</v>
      </c>
      <c r="AU12" s="184">
        <f>IF($AG$5="-",0,IF($AG$5="1 контур",1,IF($AG$5="2 контура",VLOOKUP($AK$5,$I$5:$X$49,15,0),IF(AND($AG$5="3 контура",$AN$5="Стандарт"),VLOOKUP($AM$5,$I$5:$X$49,14,0),IF(AND($AG$5="3 контура",$AN$5="Нестандарт"),VLOOKUP($AK$5,$I$5:$X$49,14,0),"-")))))</f>
        <v>1.18</v>
      </c>
      <c r="AV12" s="184">
        <f>IF($AG$5="-",0,IF($AG$5="1 контур",1,IF($AG$5="2 контура",1,IF(AND($AG$5="3 контура",$AN$5="Стандарт"),VLOOKUP($AM$5,$I$5:$X$49,15,0),IF(AND($AG$5="3 контура",$AN$5="Нестандарт"),VLOOKUP($AM$5,$I$5:$X$49,15,0),"-")))))</f>
        <v>1</v>
      </c>
    </row>
    <row r="13" spans="1:48" ht="30" customHeight="1" x14ac:dyDescent="0.25">
      <c r="A13" s="180">
        <v>9</v>
      </c>
      <c r="B13" s="180">
        <v>250</v>
      </c>
      <c r="C13" s="180"/>
      <c r="D13" s="180"/>
      <c r="E13" s="180" t="str">
        <f t="shared" si="0"/>
        <v>250/350</v>
      </c>
      <c r="F13" s="180" t="s">
        <v>182</v>
      </c>
      <c r="G13" s="180"/>
      <c r="H13" s="180">
        <v>150</v>
      </c>
      <c r="I13" s="180">
        <v>250</v>
      </c>
      <c r="J13" s="180">
        <v>1.6</v>
      </c>
      <c r="K13" s="180">
        <v>1.34</v>
      </c>
      <c r="L13" s="180">
        <v>1.1599999999999999</v>
      </c>
      <c r="M13" s="180">
        <v>1.1400000000000001</v>
      </c>
      <c r="N13" s="184">
        <v>1</v>
      </c>
      <c r="O13" s="184">
        <v>1.55</v>
      </c>
      <c r="P13" s="180">
        <v>1.34</v>
      </c>
      <c r="Q13" s="180">
        <v>1.6500000000000001</v>
      </c>
      <c r="R13" s="180">
        <v>1.1100000000000001</v>
      </c>
      <c r="S13" s="180">
        <v>1.4000000000000001</v>
      </c>
      <c r="T13" s="180">
        <v>2.15</v>
      </c>
      <c r="U13" s="180">
        <v>1.58</v>
      </c>
      <c r="V13" s="180">
        <v>1.4000000000000001</v>
      </c>
      <c r="W13" s="180">
        <v>1.72</v>
      </c>
      <c r="X13" s="184">
        <v>0.24</v>
      </c>
      <c r="AS13" s="183" t="s">
        <v>22</v>
      </c>
      <c r="AT13" s="184">
        <f>IF($AG$5="1 контур",VLOOKUP($AI$5,$I$5:$X$49,16,0),0)</f>
        <v>0</v>
      </c>
      <c r="AU13" s="184">
        <f>IF($AG$5="2 контура",VLOOKUP($AK$5,$I$5:$X$49,16,0),0)</f>
        <v>0.78</v>
      </c>
      <c r="AV13" s="184">
        <f>IF($AG$5="3 контура",VLOOKUP($AM$5,$I$5:$X$49,16,0),0)</f>
        <v>0</v>
      </c>
    </row>
    <row r="14" spans="1:48" ht="30" customHeight="1" x14ac:dyDescent="0.25">
      <c r="A14" s="180">
        <v>10</v>
      </c>
      <c r="B14" s="180">
        <v>260</v>
      </c>
      <c r="C14" s="180"/>
      <c r="D14" s="180"/>
      <c r="E14" s="180" t="str">
        <f t="shared" si="0"/>
        <v>300/360</v>
      </c>
      <c r="F14" s="180" t="s">
        <v>182</v>
      </c>
      <c r="G14" s="180"/>
      <c r="H14" s="180">
        <v>200</v>
      </c>
      <c r="I14" s="180">
        <v>260</v>
      </c>
      <c r="J14" s="180">
        <v>1.53</v>
      </c>
      <c r="K14" s="180">
        <v>1.29</v>
      </c>
      <c r="L14" s="180">
        <v>1.68</v>
      </c>
      <c r="M14" s="180">
        <v>1.3</v>
      </c>
      <c r="N14" s="184">
        <v>1</v>
      </c>
      <c r="O14" s="184">
        <v>2.1800000000000002</v>
      </c>
      <c r="P14" s="180">
        <v>1.32</v>
      </c>
      <c r="Q14" s="180">
        <v>1.52</v>
      </c>
      <c r="R14" s="180">
        <v>1.1000000000000001</v>
      </c>
      <c r="S14" s="180">
        <v>1.33</v>
      </c>
      <c r="T14" s="180">
        <v>1.83</v>
      </c>
      <c r="U14" s="180">
        <v>1.48</v>
      </c>
      <c r="V14" s="180">
        <v>2</v>
      </c>
      <c r="W14" s="180">
        <v>1.5</v>
      </c>
      <c r="X14" s="184">
        <v>0.25</v>
      </c>
      <c r="AS14" s="183" t="s">
        <v>23</v>
      </c>
      <c r="AT14" s="184">
        <f>IF($AG$5="-",0,IF($AG$5="1 контур",VLOOKUP($AI$5,$I$5:$X$49,7,0),IF(AND($AG$5="2 контура",$AN$5="Стандарт"),VLOOKUP($AK$5,$I$5:$X$49,6,0),IF(AND($AG$5="2 Контура",$AN$5="Нестандарт"),VLOOKUP($AI$5,$I$5:$X$49,6,0),IF($AG$5="3 контура",VLOOKUP($AI$5,$I$5:$X$49,6,0)*1.15,"-")))))</f>
        <v>1.32</v>
      </c>
      <c r="AU14" s="184">
        <f>IF($AG$5="-",0,IF($AG$5="1 контур",1,IF($AG$5="2 контура",VLOOKUP($AK$5,$I$5:$X$49,7,0),IF(AND($AG$5="3 контура",$AN$5="Стандарт"),VLOOKUP($AM$5,$I$5:$X$49,6,0),IF(AND($AG$5="3 контура",$AN$5="Нестандарт"),VLOOKUP($AK$5,$I$5:$X$49,6,0),"-")))))</f>
        <v>1.92</v>
      </c>
      <c r="AV14" s="184">
        <f>IF($AG$5="-",0,IF($AG$5="1 контур",1,IF($AG$5="2 контура",1,IF(AND($AG$5="3 контура",$AN$5="Стандарт"),VLOOKUP($AM$5,$I$5:$X$49,7,0),IF(AND($AG$5="3 контура",$AN$5="Нестандарт"),VLOOKUP($AM$5,$I$5:$X$49,7,0),"-")))))</f>
        <v>1</v>
      </c>
    </row>
    <row r="15" spans="1:48" ht="30" customHeight="1" x14ac:dyDescent="0.25">
      <c r="A15" s="180">
        <v>11</v>
      </c>
      <c r="B15" s="180">
        <v>300</v>
      </c>
      <c r="C15" s="180"/>
      <c r="D15" s="180"/>
      <c r="E15" s="180" t="str">
        <f t="shared" si="0"/>
        <v>300/400</v>
      </c>
      <c r="F15" s="180" t="s">
        <v>182</v>
      </c>
      <c r="G15" s="180"/>
      <c r="H15" s="180">
        <v>200</v>
      </c>
      <c r="I15" s="180">
        <v>300</v>
      </c>
      <c r="J15" s="180">
        <v>1.4000000000000001</v>
      </c>
      <c r="K15" s="180">
        <v>1.1200000000000001</v>
      </c>
      <c r="L15" s="180">
        <v>1.71</v>
      </c>
      <c r="M15" s="180">
        <v>1.1400000000000001</v>
      </c>
      <c r="N15" s="184">
        <v>1</v>
      </c>
      <c r="O15" s="184">
        <v>1.85</v>
      </c>
      <c r="P15" s="180">
        <v>1.36</v>
      </c>
      <c r="Q15" s="180">
        <v>1.32</v>
      </c>
      <c r="R15" s="180">
        <v>1.1000000000000001</v>
      </c>
      <c r="S15" s="180">
        <v>1.1300000000000001</v>
      </c>
      <c r="T15" s="180">
        <v>1.83</v>
      </c>
      <c r="U15" s="180">
        <v>1.24</v>
      </c>
      <c r="V15" s="180">
        <v>2</v>
      </c>
      <c r="W15" s="180">
        <v>1.34</v>
      </c>
      <c r="X15" s="184">
        <v>0.3</v>
      </c>
      <c r="AS15" s="183" t="s">
        <v>24</v>
      </c>
      <c r="AT15" s="184">
        <f>IF($AG$5="-",0,IF($AG$5="1 контур",VLOOKUP($AI$5,$I$5:$X$49,7,0),IF(AND($AG$5="2 контура",$AN$5="Стандарт"),VLOOKUP($AK$5,$I$5:$X$49,6,0),IF(AND($AG$5="2 Контура",$AN$5="Нестандарт"),VLOOKUP($AI$5,$I$5:$X$49,6,0),IF($AG$5="3 контура",VLOOKUP($AI$5,$I$5:$X$49,6,0)*1.15,"-")))))</f>
        <v>1.32</v>
      </c>
      <c r="AU15" s="184">
        <f>IF($AG$5="-",0,IF($AG$5="1 контур",1,IF($AG$5="2 контура",VLOOKUP($AK$5,$I$5:$X$49,7,0),IF(AND($AG$5="3 контура",$AN$5="Стандарт"),VLOOKUP($AM$5,$I$5:$X$49,6,0),IF(AND($AG$5="3 контура",$AN$5="Нестандарт"),VLOOKUP($AK$5,$I$5:$X$49,6,0),"-")))))</f>
        <v>1.92</v>
      </c>
      <c r="AV15" s="184">
        <f>IF($AG$5="-",0,IF($AG$5="1 контур",1,IF($AG$5="2 контура",1,IF(AND($AG$5="3 контура",$AN$5="Стандарт"),VLOOKUP($AM$5,$I$5:$X$49,7,0),IF(AND($AG$5="3 контура",$AN$5="Нестандарт"),VLOOKUP($AM$5,$I$5:$X$49,7,0),"-")))))</f>
        <v>1</v>
      </c>
    </row>
    <row r="16" spans="1:48" ht="30" customHeight="1" x14ac:dyDescent="0.25">
      <c r="A16" s="180">
        <v>12</v>
      </c>
      <c r="B16" s="180">
        <v>310</v>
      </c>
      <c r="C16" s="180"/>
      <c r="D16" s="180"/>
      <c r="E16" s="180" t="str">
        <f t="shared" si="0"/>
        <v>350/410</v>
      </c>
      <c r="F16" s="180" t="s">
        <v>182</v>
      </c>
      <c r="G16" s="180"/>
      <c r="H16" s="180">
        <v>250</v>
      </c>
      <c r="I16" s="180">
        <v>310</v>
      </c>
      <c r="J16" s="180">
        <v>1.32</v>
      </c>
      <c r="K16" s="180">
        <v>1.35</v>
      </c>
      <c r="L16" s="180">
        <v>1.36</v>
      </c>
      <c r="M16" s="180">
        <v>1.43</v>
      </c>
      <c r="N16" s="184">
        <v>1.32</v>
      </c>
      <c r="O16" s="184">
        <v>2.44</v>
      </c>
      <c r="P16" s="180">
        <v>1.53</v>
      </c>
      <c r="Q16" s="180">
        <v>1.24</v>
      </c>
      <c r="R16" s="180">
        <v>1.36</v>
      </c>
      <c r="S16" s="180">
        <v>1.08</v>
      </c>
      <c r="T16" s="180">
        <v>1.46</v>
      </c>
      <c r="U16" s="180">
        <v>1.21</v>
      </c>
      <c r="V16" s="180">
        <v>1.59</v>
      </c>
      <c r="W16" s="180">
        <v>1.23</v>
      </c>
      <c r="X16" s="184">
        <v>0.3</v>
      </c>
    </row>
    <row r="17" spans="1:24" ht="30" customHeight="1" x14ac:dyDescent="0.25">
      <c r="A17" s="180">
        <v>13</v>
      </c>
      <c r="B17" s="180">
        <v>350</v>
      </c>
      <c r="C17" s="180"/>
      <c r="D17" s="180"/>
      <c r="E17" s="180" t="str">
        <f t="shared" si="0"/>
        <v>350/450</v>
      </c>
      <c r="F17" s="180" t="s">
        <v>182</v>
      </c>
      <c r="G17" s="180"/>
      <c r="H17" s="180">
        <v>250</v>
      </c>
      <c r="I17" s="180">
        <v>350</v>
      </c>
      <c r="J17" s="180">
        <v>1.24</v>
      </c>
      <c r="K17" s="180">
        <v>1.26</v>
      </c>
      <c r="L17" s="180">
        <v>1.36</v>
      </c>
      <c r="M17" s="180">
        <v>1.36</v>
      </c>
      <c r="N17" s="184">
        <v>1.32</v>
      </c>
      <c r="O17" s="184">
        <v>2.13</v>
      </c>
      <c r="P17" s="180">
        <v>1.56</v>
      </c>
      <c r="Q17" s="180">
        <v>1.25</v>
      </c>
      <c r="R17" s="180">
        <v>1.36</v>
      </c>
      <c r="S17" s="180">
        <v>1.1000000000000001</v>
      </c>
      <c r="T17" s="180">
        <v>1.46</v>
      </c>
      <c r="U17" s="180">
        <v>1.22</v>
      </c>
      <c r="V17" s="180">
        <v>1.59</v>
      </c>
      <c r="W17" s="180">
        <v>1.25</v>
      </c>
      <c r="X17" s="184">
        <v>0.36</v>
      </c>
    </row>
    <row r="18" spans="1:24" ht="30" customHeight="1" x14ac:dyDescent="0.25">
      <c r="A18" s="180">
        <v>14</v>
      </c>
      <c r="B18" s="180">
        <v>360</v>
      </c>
      <c r="C18" s="180"/>
      <c r="D18" s="180"/>
      <c r="E18" s="180" t="str">
        <f t="shared" si="0"/>
        <v>400/460</v>
      </c>
      <c r="F18" s="180" t="s">
        <v>182</v>
      </c>
      <c r="G18" s="180"/>
      <c r="H18" s="180">
        <v>300</v>
      </c>
      <c r="I18" s="180">
        <v>360</v>
      </c>
      <c r="J18" s="180">
        <v>1.1000000000000001</v>
      </c>
      <c r="K18" s="180">
        <v>1.24</v>
      </c>
      <c r="L18" s="180">
        <v>1.1400000000000001</v>
      </c>
      <c r="M18" s="180">
        <v>1.34</v>
      </c>
      <c r="N18" s="184">
        <v>1.1100000000000001</v>
      </c>
      <c r="O18" s="184">
        <v>2.64</v>
      </c>
      <c r="P18" s="180">
        <v>1.27</v>
      </c>
      <c r="Q18" s="180">
        <v>1.21</v>
      </c>
      <c r="R18" s="180">
        <v>1.1200000000000001</v>
      </c>
      <c r="S18" s="180">
        <v>1.08</v>
      </c>
      <c r="T18" s="180">
        <v>1.22</v>
      </c>
      <c r="U18" s="180">
        <v>1.22</v>
      </c>
      <c r="V18" s="180">
        <v>1.21</v>
      </c>
      <c r="W18" s="180">
        <v>1.22</v>
      </c>
      <c r="X18" s="184">
        <v>0.36</v>
      </c>
    </row>
    <row r="19" spans="1:24" ht="30" customHeight="1" x14ac:dyDescent="0.25">
      <c r="A19" s="180">
        <v>15</v>
      </c>
      <c r="B19" s="180">
        <v>400</v>
      </c>
      <c r="C19" s="180"/>
      <c r="D19" s="180"/>
      <c r="E19" s="180" t="str">
        <f t="shared" si="0"/>
        <v>400/500</v>
      </c>
      <c r="F19" s="180" t="s">
        <v>182</v>
      </c>
      <c r="G19" s="180"/>
      <c r="H19" s="180">
        <v>300</v>
      </c>
      <c r="I19" s="180">
        <v>400</v>
      </c>
      <c r="J19" s="185">
        <v>1.1100000000000001</v>
      </c>
      <c r="K19" s="185">
        <v>1.1500000000000001</v>
      </c>
      <c r="L19" s="185">
        <v>1.1400000000000001</v>
      </c>
      <c r="M19" s="185">
        <v>1.58</v>
      </c>
      <c r="N19" s="185">
        <v>1.1100000000000001</v>
      </c>
      <c r="O19" s="185">
        <v>2.35</v>
      </c>
      <c r="P19" s="185">
        <v>1.29</v>
      </c>
      <c r="Q19" s="185">
        <v>1.22</v>
      </c>
      <c r="R19" s="185">
        <v>1.1500000000000001</v>
      </c>
      <c r="S19" s="185">
        <v>1.0900000000000001</v>
      </c>
      <c r="T19" s="185">
        <v>1.22</v>
      </c>
      <c r="U19" s="185">
        <v>1.22</v>
      </c>
      <c r="V19" s="185">
        <v>1.21</v>
      </c>
      <c r="W19" s="185">
        <v>1.23</v>
      </c>
      <c r="X19" s="185">
        <v>0.43</v>
      </c>
    </row>
    <row r="20" spans="1:24" ht="30" customHeight="1" x14ac:dyDescent="0.25">
      <c r="A20" s="180">
        <v>16</v>
      </c>
      <c r="B20" s="180">
        <v>410</v>
      </c>
      <c r="C20" s="180"/>
      <c r="D20" s="180"/>
      <c r="E20" s="180" t="str">
        <f t="shared" si="0"/>
        <v>450/510</v>
      </c>
      <c r="F20" s="180" t="s">
        <v>182</v>
      </c>
      <c r="G20" s="180"/>
      <c r="H20" s="180">
        <v>350</v>
      </c>
      <c r="I20" s="180">
        <v>410</v>
      </c>
      <c r="J20" s="180">
        <v>1.1300000000000001</v>
      </c>
      <c r="K20" s="180">
        <v>1.1300000000000001</v>
      </c>
      <c r="L20" s="180">
        <v>1.55</v>
      </c>
      <c r="M20" s="180">
        <v>1.55</v>
      </c>
      <c r="N20" s="184">
        <v>1.05</v>
      </c>
      <c r="O20" s="184">
        <v>2.5300000000000002</v>
      </c>
      <c r="P20" s="180">
        <v>1.62</v>
      </c>
      <c r="Q20" s="180">
        <v>1.61</v>
      </c>
      <c r="R20" s="180">
        <v>1.1000000000000001</v>
      </c>
      <c r="S20" s="180">
        <v>1.1000000000000001</v>
      </c>
      <c r="T20" s="180">
        <v>1.2</v>
      </c>
      <c r="U20" s="180">
        <v>1.19</v>
      </c>
      <c r="V20" s="180">
        <v>1.17</v>
      </c>
      <c r="W20" s="180">
        <v>1.17</v>
      </c>
      <c r="X20" s="184">
        <v>0.43</v>
      </c>
    </row>
    <row r="21" spans="1:24" ht="30" customHeight="1" x14ac:dyDescent="0.25">
      <c r="A21" s="180">
        <v>17</v>
      </c>
      <c r="B21" s="180">
        <v>450</v>
      </c>
      <c r="C21" s="180"/>
      <c r="D21" s="180"/>
      <c r="E21" s="180" t="str">
        <f t="shared" si="0"/>
        <v>450/550</v>
      </c>
      <c r="F21" s="180" t="s">
        <v>182</v>
      </c>
      <c r="G21" s="180"/>
      <c r="H21" s="180">
        <v>350</v>
      </c>
      <c r="I21" s="180">
        <v>450</v>
      </c>
      <c r="J21" s="180">
        <v>1.43</v>
      </c>
      <c r="K21" s="180">
        <v>1.43</v>
      </c>
      <c r="L21" s="180">
        <v>1.43</v>
      </c>
      <c r="M21" s="180">
        <v>1.45</v>
      </c>
      <c r="N21" s="184">
        <v>1.05</v>
      </c>
      <c r="O21" s="184">
        <v>2.29</v>
      </c>
      <c r="P21" s="180">
        <v>1.62</v>
      </c>
      <c r="Q21" s="180">
        <v>1.62</v>
      </c>
      <c r="R21" s="180">
        <v>1.1000000000000001</v>
      </c>
      <c r="S21" s="180">
        <v>1.0900000000000001</v>
      </c>
      <c r="T21" s="180">
        <v>1.2</v>
      </c>
      <c r="U21" s="180">
        <v>1.17</v>
      </c>
      <c r="V21" s="180">
        <v>1.17</v>
      </c>
      <c r="W21" s="180">
        <v>1.18</v>
      </c>
      <c r="X21" s="184">
        <v>0.51</v>
      </c>
    </row>
    <row r="22" spans="1:24" ht="30" customHeight="1" x14ac:dyDescent="0.25">
      <c r="A22" s="180">
        <v>18</v>
      </c>
      <c r="B22" s="180">
        <v>460</v>
      </c>
      <c r="C22" s="180"/>
      <c r="D22" s="180"/>
      <c r="E22" s="180" t="str">
        <f t="shared" si="0"/>
        <v>500/560</v>
      </c>
      <c r="F22" s="180" t="s">
        <v>182</v>
      </c>
      <c r="G22" s="180"/>
      <c r="H22" s="180">
        <v>400</v>
      </c>
      <c r="I22" s="180">
        <v>460</v>
      </c>
      <c r="J22" s="180">
        <v>1.41</v>
      </c>
      <c r="K22" s="180">
        <v>1.42</v>
      </c>
      <c r="L22" s="180">
        <v>1.42</v>
      </c>
      <c r="M22" s="180">
        <v>1.41</v>
      </c>
      <c r="N22" s="184">
        <v>1.04</v>
      </c>
      <c r="O22" s="184">
        <v>2.4700000000000002</v>
      </c>
      <c r="P22" s="180">
        <v>1.45</v>
      </c>
      <c r="Q22" s="180">
        <v>1.43</v>
      </c>
      <c r="R22" s="180">
        <v>1.0900000000000001</v>
      </c>
      <c r="S22" s="180">
        <v>1.07</v>
      </c>
      <c r="T22" s="180">
        <v>1.18</v>
      </c>
      <c r="U22" s="180">
        <v>1.17</v>
      </c>
      <c r="V22" s="180">
        <v>1.19</v>
      </c>
      <c r="W22" s="180">
        <v>1.1599999999999999</v>
      </c>
      <c r="X22" s="184">
        <v>0.51</v>
      </c>
    </row>
    <row r="23" spans="1:24" ht="30" customHeight="1" x14ac:dyDescent="0.25">
      <c r="A23" s="180">
        <v>19</v>
      </c>
      <c r="B23" s="180">
        <v>500</v>
      </c>
      <c r="C23" s="180"/>
      <c r="D23" s="180"/>
      <c r="E23" s="180" t="str">
        <f t="shared" si="0"/>
        <v>500/600</v>
      </c>
      <c r="F23" s="180" t="s">
        <v>182</v>
      </c>
      <c r="G23" s="180"/>
      <c r="H23" s="180">
        <v>400</v>
      </c>
      <c r="I23" s="180">
        <v>500</v>
      </c>
      <c r="J23" s="180">
        <v>1.36</v>
      </c>
      <c r="K23" s="180">
        <v>1.58</v>
      </c>
      <c r="L23" s="180">
        <v>1.31</v>
      </c>
      <c r="M23" s="180">
        <v>1.49</v>
      </c>
      <c r="N23" s="184">
        <v>1.04</v>
      </c>
      <c r="O23" s="184">
        <v>2.23</v>
      </c>
      <c r="P23" s="180">
        <v>1.45</v>
      </c>
      <c r="Q23" s="180">
        <v>1.43</v>
      </c>
      <c r="R23" s="180">
        <v>1.0900000000000001</v>
      </c>
      <c r="S23" s="180">
        <v>1.07</v>
      </c>
      <c r="T23" s="180">
        <v>1.18</v>
      </c>
      <c r="U23" s="180">
        <v>1.45</v>
      </c>
      <c r="V23" s="180">
        <v>1.19</v>
      </c>
      <c r="W23" s="180">
        <v>1.1500000000000001</v>
      </c>
      <c r="X23" s="184">
        <v>0.6</v>
      </c>
    </row>
    <row r="24" spans="1:24" ht="30" customHeight="1" x14ac:dyDescent="0.25">
      <c r="A24" s="180">
        <v>20</v>
      </c>
      <c r="B24" s="180">
        <v>510</v>
      </c>
      <c r="C24" s="180"/>
      <c r="D24" s="180"/>
      <c r="E24" s="180" t="str">
        <f t="shared" si="0"/>
        <v>550/610</v>
      </c>
      <c r="F24" s="180" t="s">
        <v>182</v>
      </c>
      <c r="G24" s="180"/>
      <c r="H24" s="180">
        <v>450</v>
      </c>
      <c r="I24" s="180">
        <v>510</v>
      </c>
      <c r="J24" s="180">
        <v>1.33</v>
      </c>
      <c r="K24" s="180">
        <v>1.54</v>
      </c>
      <c r="L24" s="180">
        <v>1.31</v>
      </c>
      <c r="M24" s="180">
        <v>1.6</v>
      </c>
      <c r="N24" s="184">
        <v>1.04</v>
      </c>
      <c r="O24" s="184">
        <v>2.36</v>
      </c>
      <c r="P24" s="180">
        <v>1.29</v>
      </c>
      <c r="Q24" s="180">
        <v>1.58</v>
      </c>
      <c r="R24" s="180">
        <v>1.07</v>
      </c>
      <c r="S24" s="180">
        <v>1.3</v>
      </c>
      <c r="T24" s="180">
        <v>1.1599999999999999</v>
      </c>
      <c r="U24" s="180">
        <v>1.1599999999999999</v>
      </c>
      <c r="V24" s="180">
        <v>1.1500000000000001</v>
      </c>
      <c r="W24" s="180">
        <v>1.4000000000000001</v>
      </c>
      <c r="X24" s="184">
        <v>0.6</v>
      </c>
    </row>
    <row r="25" spans="1:24" ht="30" customHeight="1" x14ac:dyDescent="0.25">
      <c r="A25" s="180">
        <v>21</v>
      </c>
      <c r="B25" s="180">
        <v>550</v>
      </c>
      <c r="C25" s="180"/>
      <c r="D25" s="180"/>
      <c r="E25" s="180" t="str">
        <f t="shared" si="0"/>
        <v>550/650</v>
      </c>
      <c r="F25" s="180" t="s">
        <v>182</v>
      </c>
      <c r="G25" s="180"/>
      <c r="H25" s="180">
        <v>450</v>
      </c>
      <c r="I25" s="180">
        <v>550</v>
      </c>
      <c r="J25" s="180">
        <v>1.28</v>
      </c>
      <c r="K25" s="180">
        <v>1.3900000000000001</v>
      </c>
      <c r="L25" s="180">
        <v>1.46</v>
      </c>
      <c r="M25" s="180">
        <v>1.4000000000000001</v>
      </c>
      <c r="N25" s="184">
        <v>1.04</v>
      </c>
      <c r="O25" s="184">
        <v>2.13</v>
      </c>
      <c r="P25" s="180">
        <v>1.29</v>
      </c>
      <c r="Q25" s="180">
        <v>1.48</v>
      </c>
      <c r="R25" s="180">
        <v>1.07</v>
      </c>
      <c r="S25" s="180">
        <v>1.22</v>
      </c>
      <c r="T25" s="180">
        <v>1.1599999999999999</v>
      </c>
      <c r="U25" s="180">
        <v>1.31</v>
      </c>
      <c r="V25" s="180">
        <v>1.1500000000000001</v>
      </c>
      <c r="W25" s="180">
        <v>1.28</v>
      </c>
      <c r="X25" s="184">
        <v>0.7</v>
      </c>
    </row>
    <row r="26" spans="1:24" ht="30" customHeight="1" x14ac:dyDescent="0.25">
      <c r="A26" s="180">
        <v>22</v>
      </c>
      <c r="B26" s="180">
        <v>560</v>
      </c>
      <c r="C26" s="180"/>
      <c r="D26" s="180"/>
      <c r="E26" s="180" t="str">
        <f t="shared" si="0"/>
        <v>600/660</v>
      </c>
      <c r="F26" s="180" t="s">
        <v>182</v>
      </c>
      <c r="G26" s="180"/>
      <c r="H26" s="180">
        <v>500</v>
      </c>
      <c r="I26" s="180">
        <v>560</v>
      </c>
      <c r="J26" s="180">
        <v>1.49</v>
      </c>
      <c r="K26" s="180">
        <v>1.36</v>
      </c>
      <c r="L26" s="180">
        <v>1.51</v>
      </c>
      <c r="M26" s="180">
        <v>1.35</v>
      </c>
      <c r="N26" s="184">
        <v>1.32</v>
      </c>
      <c r="O26" s="184">
        <v>2.1</v>
      </c>
      <c r="P26" s="180">
        <v>1.48</v>
      </c>
      <c r="Q26" s="180">
        <v>1.31</v>
      </c>
      <c r="R26" s="180">
        <v>1.07</v>
      </c>
      <c r="S26" s="180">
        <v>1.2</v>
      </c>
      <c r="T26" s="180">
        <v>1.42</v>
      </c>
      <c r="U26" s="180">
        <v>1.27</v>
      </c>
      <c r="V26" s="180">
        <v>1.41</v>
      </c>
      <c r="W26" s="180">
        <v>1.25</v>
      </c>
      <c r="X26" s="184">
        <v>0.7</v>
      </c>
    </row>
    <row r="27" spans="1:24" ht="30" customHeight="1" x14ac:dyDescent="0.25">
      <c r="A27" s="180">
        <v>23</v>
      </c>
      <c r="B27" s="180">
        <v>600</v>
      </c>
      <c r="C27" s="180"/>
      <c r="D27" s="180"/>
      <c r="E27" s="180" t="str">
        <f t="shared" si="0"/>
        <v>600/700</v>
      </c>
      <c r="F27" s="180" t="s">
        <v>182</v>
      </c>
      <c r="G27" s="180"/>
      <c r="H27" s="180">
        <v>500</v>
      </c>
      <c r="I27" s="180">
        <v>600</v>
      </c>
      <c r="J27" s="180">
        <v>1.22</v>
      </c>
      <c r="K27" s="180">
        <v>1.21</v>
      </c>
      <c r="L27" s="180">
        <v>1.48</v>
      </c>
      <c r="M27" s="180">
        <v>1.23</v>
      </c>
      <c r="N27" s="184">
        <v>1.32</v>
      </c>
      <c r="O27" s="184">
        <v>1.92</v>
      </c>
      <c r="P27" s="180">
        <v>1.48</v>
      </c>
      <c r="Q27" s="180">
        <v>1.22</v>
      </c>
      <c r="R27" s="180">
        <v>1.07</v>
      </c>
      <c r="S27" s="180">
        <v>1.1200000000000001</v>
      </c>
      <c r="T27" s="180">
        <v>1.42</v>
      </c>
      <c r="U27" s="180">
        <v>1.19</v>
      </c>
      <c r="V27" s="180">
        <v>1.41</v>
      </c>
      <c r="W27" s="180">
        <v>1.18</v>
      </c>
      <c r="X27" s="184">
        <v>0.78</v>
      </c>
    </row>
    <row r="28" spans="1:24" ht="30" customHeight="1" x14ac:dyDescent="0.25">
      <c r="A28" s="180">
        <v>24</v>
      </c>
      <c r="B28" s="180">
        <v>610</v>
      </c>
      <c r="C28" s="180"/>
      <c r="D28" s="180"/>
      <c r="E28" s="180" t="str">
        <f t="shared" si="0"/>
        <v>650/710</v>
      </c>
      <c r="F28" s="180" t="s">
        <v>182</v>
      </c>
      <c r="G28" s="180"/>
      <c r="H28" s="180">
        <v>550</v>
      </c>
      <c r="I28" s="180">
        <v>610</v>
      </c>
      <c r="J28" s="180">
        <v>1.32</v>
      </c>
      <c r="K28" s="180">
        <v>1.22</v>
      </c>
      <c r="L28" s="180">
        <v>1.34</v>
      </c>
      <c r="M28" s="180">
        <v>1.47</v>
      </c>
      <c r="N28" s="184">
        <v>1.2</v>
      </c>
      <c r="O28" s="184">
        <v>2.44</v>
      </c>
      <c r="P28" s="180">
        <v>1.31</v>
      </c>
      <c r="Q28" s="180">
        <v>1.7</v>
      </c>
      <c r="R28" s="180">
        <v>1.6400000000000001</v>
      </c>
      <c r="S28" s="180">
        <v>1.48</v>
      </c>
      <c r="T28" s="180">
        <v>1.0900000000000001</v>
      </c>
      <c r="U28" s="180">
        <v>0.99</v>
      </c>
      <c r="V28" s="180">
        <v>1.27</v>
      </c>
      <c r="W28" s="180">
        <v>1.1500000000000001</v>
      </c>
      <c r="X28" s="184">
        <v>0.78</v>
      </c>
    </row>
    <row r="29" spans="1:24" ht="30" customHeight="1" x14ac:dyDescent="0.25">
      <c r="A29" s="180">
        <v>25</v>
      </c>
      <c r="B29" s="180">
        <v>650</v>
      </c>
      <c r="C29" s="180"/>
      <c r="D29" s="180"/>
      <c r="E29" s="180" t="str">
        <f t="shared" si="0"/>
        <v>650/750</v>
      </c>
      <c r="F29" s="180" t="s">
        <v>182</v>
      </c>
      <c r="G29" s="180"/>
      <c r="H29" s="180">
        <v>550</v>
      </c>
      <c r="I29" s="180">
        <v>650</v>
      </c>
      <c r="J29" s="180">
        <v>1.31</v>
      </c>
      <c r="K29" s="180">
        <v>1.17</v>
      </c>
      <c r="L29" s="180">
        <v>1.3</v>
      </c>
      <c r="M29" s="180">
        <v>1.37</v>
      </c>
      <c r="N29" s="184">
        <v>1.2</v>
      </c>
      <c r="O29" s="184">
        <v>2.2400000000000002</v>
      </c>
      <c r="P29" s="180">
        <v>1.31</v>
      </c>
      <c r="Q29" s="180">
        <v>1.6500000000000001</v>
      </c>
      <c r="R29" s="180">
        <v>1.6400000000000001</v>
      </c>
      <c r="S29" s="180">
        <v>1.45</v>
      </c>
      <c r="T29" s="180">
        <v>1.29</v>
      </c>
      <c r="U29" s="180">
        <v>1.1400000000000001</v>
      </c>
      <c r="V29" s="180">
        <v>1.27</v>
      </c>
      <c r="W29" s="180">
        <v>1.32</v>
      </c>
      <c r="X29" s="184">
        <v>0.89</v>
      </c>
    </row>
    <row r="30" spans="1:24" ht="30" customHeight="1" x14ac:dyDescent="0.25">
      <c r="A30" s="180">
        <v>26</v>
      </c>
      <c r="B30" s="180">
        <v>660</v>
      </c>
      <c r="C30" s="180"/>
      <c r="D30" s="180"/>
      <c r="E30" s="180" t="str">
        <f t="shared" si="0"/>
        <v>700/760</v>
      </c>
      <c r="F30" s="180" t="s">
        <v>182</v>
      </c>
      <c r="G30" s="180"/>
      <c r="H30" s="180">
        <v>600</v>
      </c>
      <c r="I30" s="180">
        <v>660</v>
      </c>
      <c r="J30" s="180">
        <v>1.19</v>
      </c>
      <c r="K30" s="180">
        <v>1.1500000000000001</v>
      </c>
      <c r="L30" s="180">
        <v>1.18</v>
      </c>
      <c r="M30" s="180">
        <v>1.34</v>
      </c>
      <c r="N30" s="184">
        <v>1.1100000000000001</v>
      </c>
      <c r="O30" s="184">
        <v>2.48</v>
      </c>
      <c r="P30" s="180">
        <v>1.19</v>
      </c>
      <c r="Q30" s="180">
        <v>1.62</v>
      </c>
      <c r="R30" s="180">
        <v>1.4000000000000001</v>
      </c>
      <c r="S30" s="180">
        <v>1.36</v>
      </c>
      <c r="T30" s="180">
        <v>1.18</v>
      </c>
      <c r="U30" s="180">
        <v>1.82</v>
      </c>
      <c r="V30" s="180">
        <v>1.1400000000000001</v>
      </c>
      <c r="W30" s="180">
        <v>1.23</v>
      </c>
      <c r="X30" s="184">
        <v>0.89</v>
      </c>
    </row>
    <row r="31" spans="1:24" ht="30" customHeight="1" x14ac:dyDescent="0.25">
      <c r="A31" s="180">
        <v>27</v>
      </c>
      <c r="B31" s="180">
        <v>700</v>
      </c>
      <c r="C31" s="180"/>
      <c r="D31" s="180"/>
      <c r="E31" s="180" t="str">
        <f t="shared" si="0"/>
        <v>700/800</v>
      </c>
      <c r="F31" s="180" t="s">
        <v>182</v>
      </c>
      <c r="G31" s="180"/>
      <c r="H31" s="180">
        <v>600</v>
      </c>
      <c r="I31" s="180">
        <v>700</v>
      </c>
      <c r="J31" s="180">
        <v>1.1599999999999999</v>
      </c>
      <c r="K31" s="180">
        <v>1.06</v>
      </c>
      <c r="L31" s="180">
        <v>1.1599999999999999</v>
      </c>
      <c r="M31" s="180">
        <v>1.35</v>
      </c>
      <c r="N31" s="184">
        <v>1.1100000000000001</v>
      </c>
      <c r="O31" s="184">
        <v>2.2800000000000002</v>
      </c>
      <c r="P31" s="180">
        <v>1.19</v>
      </c>
      <c r="Q31" s="180">
        <v>1.52</v>
      </c>
      <c r="R31" s="180">
        <v>1.4000000000000001</v>
      </c>
      <c r="S31" s="180">
        <v>1.36</v>
      </c>
      <c r="T31" s="180">
        <v>1.17</v>
      </c>
      <c r="U31" s="180">
        <v>1.8</v>
      </c>
      <c r="V31" s="180">
        <v>1.1400000000000001</v>
      </c>
      <c r="W31" s="180">
        <v>1.23</v>
      </c>
      <c r="X31" s="184">
        <v>1</v>
      </c>
    </row>
    <row r="32" spans="1:24" ht="30" customHeight="1" x14ac:dyDescent="0.25">
      <c r="A32" s="180">
        <v>28</v>
      </c>
      <c r="B32" s="180">
        <v>710</v>
      </c>
      <c r="C32" s="180"/>
      <c r="D32" s="180"/>
      <c r="E32" s="180" t="str">
        <f t="shared" si="0"/>
        <v>750/810</v>
      </c>
      <c r="F32" s="180" t="s">
        <v>182</v>
      </c>
      <c r="G32" s="180"/>
      <c r="H32" s="180">
        <v>650</v>
      </c>
      <c r="I32" s="180">
        <v>710</v>
      </c>
      <c r="J32" s="180">
        <v>1.1000000000000001</v>
      </c>
      <c r="K32" s="180">
        <v>1.04</v>
      </c>
      <c r="L32" s="180">
        <v>1.44</v>
      </c>
      <c r="M32" s="180">
        <v>1.36</v>
      </c>
      <c r="N32" s="184">
        <v>1.22</v>
      </c>
      <c r="O32" s="184">
        <v>2.65</v>
      </c>
      <c r="P32" s="180">
        <v>1.6300000000000001</v>
      </c>
      <c r="Q32" s="180">
        <v>1.49</v>
      </c>
      <c r="R32" s="180">
        <v>1.27</v>
      </c>
      <c r="S32" s="180">
        <v>1.28</v>
      </c>
      <c r="T32" s="180">
        <v>1.68</v>
      </c>
      <c r="U32" s="180">
        <v>1.68</v>
      </c>
      <c r="V32" s="180">
        <v>1.1500000000000001</v>
      </c>
      <c r="W32" s="180">
        <v>1.1500000000000001</v>
      </c>
      <c r="X32" s="184">
        <v>1</v>
      </c>
    </row>
    <row r="33" spans="1:24" ht="30" customHeight="1" x14ac:dyDescent="0.25">
      <c r="A33" s="180">
        <v>29</v>
      </c>
      <c r="B33" s="180">
        <v>750</v>
      </c>
      <c r="C33" s="180"/>
      <c r="D33" s="180"/>
      <c r="E33" s="180" t="str">
        <f t="shared" si="0"/>
        <v>750/850</v>
      </c>
      <c r="F33" s="180" t="s">
        <v>182</v>
      </c>
      <c r="G33" s="180"/>
      <c r="H33" s="180">
        <v>650</v>
      </c>
      <c r="I33" s="180">
        <v>750</v>
      </c>
      <c r="J33" s="180">
        <v>1.3800000000000001</v>
      </c>
      <c r="K33" s="180">
        <v>1.2</v>
      </c>
      <c r="L33" s="180">
        <v>1.37</v>
      </c>
      <c r="M33" s="180">
        <v>1.3</v>
      </c>
      <c r="N33" s="184">
        <v>1.22</v>
      </c>
      <c r="O33" s="184">
        <v>2.4500000000000002</v>
      </c>
      <c r="P33" s="180">
        <v>1.6300000000000001</v>
      </c>
      <c r="Q33" s="180">
        <v>1.41</v>
      </c>
      <c r="R33" s="180">
        <v>1.27</v>
      </c>
      <c r="S33" s="180">
        <v>1.27</v>
      </c>
      <c r="T33" s="180">
        <v>1.68</v>
      </c>
      <c r="U33" s="180">
        <v>1.69</v>
      </c>
      <c r="V33" s="180">
        <v>1.1500000000000001</v>
      </c>
      <c r="W33" s="180">
        <v>1.1500000000000001</v>
      </c>
      <c r="X33" s="184">
        <v>0.89</v>
      </c>
    </row>
    <row r="34" spans="1:24" ht="30" customHeight="1" x14ac:dyDescent="0.25">
      <c r="A34" s="180">
        <v>30</v>
      </c>
      <c r="B34" s="180">
        <v>760</v>
      </c>
      <c r="C34" s="180"/>
      <c r="D34" s="180"/>
      <c r="E34" s="180" t="str">
        <f t="shared" si="0"/>
        <v>800/860</v>
      </c>
      <c r="F34" s="180" t="s">
        <v>182</v>
      </c>
      <c r="G34" s="180"/>
      <c r="H34" s="180">
        <v>700</v>
      </c>
      <c r="I34" s="180">
        <v>760</v>
      </c>
      <c r="J34" s="180">
        <v>1.27</v>
      </c>
      <c r="K34" s="180">
        <v>1.17</v>
      </c>
      <c r="L34" s="180">
        <v>1.3800000000000001</v>
      </c>
      <c r="M34" s="180">
        <v>1.27</v>
      </c>
      <c r="N34" s="184">
        <v>1.1400000000000001</v>
      </c>
      <c r="O34" s="184">
        <v>2.71</v>
      </c>
      <c r="P34" s="180">
        <v>1.5</v>
      </c>
      <c r="Q34" s="180">
        <v>1.3900000000000001</v>
      </c>
      <c r="R34" s="180">
        <v>1.19</v>
      </c>
      <c r="S34" s="180">
        <v>1.18</v>
      </c>
      <c r="T34" s="180">
        <v>1.59</v>
      </c>
      <c r="U34" s="180">
        <v>1.58</v>
      </c>
      <c r="V34" s="180">
        <v>1.0900000000000001</v>
      </c>
      <c r="W34" s="180">
        <v>1.0900000000000001</v>
      </c>
      <c r="X34" s="184">
        <v>0.89</v>
      </c>
    </row>
    <row r="35" spans="1:24" ht="30" customHeight="1" x14ac:dyDescent="0.25">
      <c r="A35" s="180">
        <v>31</v>
      </c>
      <c r="B35" s="180">
        <v>800</v>
      </c>
      <c r="C35" s="180"/>
      <c r="D35" s="180"/>
      <c r="E35" s="180" t="str">
        <f t="shared" si="0"/>
        <v>800/900</v>
      </c>
      <c r="F35" s="180" t="s">
        <v>182</v>
      </c>
      <c r="G35" s="180"/>
      <c r="H35" s="180">
        <v>700</v>
      </c>
      <c r="I35" s="180">
        <v>800</v>
      </c>
      <c r="J35" s="180">
        <v>1.28</v>
      </c>
      <c r="K35" s="180">
        <v>1.17</v>
      </c>
      <c r="L35" s="180">
        <v>1.34</v>
      </c>
      <c r="M35" s="180">
        <v>1.18</v>
      </c>
      <c r="N35" s="184">
        <v>1.1400000000000001</v>
      </c>
      <c r="O35" s="184">
        <v>2.5</v>
      </c>
      <c r="P35" s="180">
        <v>1.5</v>
      </c>
      <c r="Q35" s="180">
        <v>1.32</v>
      </c>
      <c r="R35" s="180">
        <v>1.19</v>
      </c>
      <c r="S35" s="180">
        <v>1.19</v>
      </c>
      <c r="T35" s="180">
        <v>1.59</v>
      </c>
      <c r="U35" s="180">
        <v>1.59</v>
      </c>
      <c r="V35" s="180">
        <v>1.0900000000000001</v>
      </c>
      <c r="W35" s="180">
        <v>1.0900000000000001</v>
      </c>
      <c r="X35" s="184">
        <v>0.89</v>
      </c>
    </row>
    <row r="36" spans="1:24" ht="30" customHeight="1" x14ac:dyDescent="0.25">
      <c r="A36" s="180">
        <v>32</v>
      </c>
      <c r="B36" s="180">
        <v>810</v>
      </c>
      <c r="C36" s="180"/>
      <c r="D36" s="180"/>
      <c r="E36" s="180" t="str">
        <f t="shared" si="0"/>
        <v>850/910</v>
      </c>
      <c r="F36" s="180" t="s">
        <v>182</v>
      </c>
      <c r="G36" s="180"/>
      <c r="H36" s="180">
        <v>750</v>
      </c>
      <c r="I36" s="180">
        <v>810</v>
      </c>
      <c r="J36" s="180">
        <v>1.22</v>
      </c>
      <c r="K36" s="180">
        <v>1.1500000000000001</v>
      </c>
      <c r="L36" s="180">
        <v>1.25</v>
      </c>
      <c r="M36" s="180">
        <v>1.1599999999999999</v>
      </c>
      <c r="N36" s="184">
        <v>1.05</v>
      </c>
      <c r="O36" s="184">
        <v>3.0100000000000002</v>
      </c>
      <c r="P36" s="180">
        <v>1.4000000000000001</v>
      </c>
      <c r="Q36" s="180">
        <v>1.3</v>
      </c>
      <c r="R36" s="180">
        <v>1.1300000000000001</v>
      </c>
      <c r="S36" s="180">
        <v>1.1200000000000001</v>
      </c>
      <c r="T36" s="180">
        <v>1.5</v>
      </c>
      <c r="U36" s="180">
        <v>1.49</v>
      </c>
      <c r="V36" s="180">
        <v>1.1000000000000001</v>
      </c>
      <c r="W36" s="180">
        <v>1.0900000000000001</v>
      </c>
      <c r="X36" s="184">
        <v>0.89</v>
      </c>
    </row>
    <row r="37" spans="1:24" ht="30" customHeight="1" x14ac:dyDescent="0.25">
      <c r="A37" s="180">
        <v>33</v>
      </c>
      <c r="B37" s="180">
        <v>850</v>
      </c>
      <c r="C37" s="180"/>
      <c r="D37" s="180"/>
      <c r="E37" s="180" t="str">
        <f t="shared" si="0"/>
        <v>850/950</v>
      </c>
      <c r="F37" s="180" t="s">
        <v>182</v>
      </c>
      <c r="G37" s="180"/>
      <c r="H37" s="180">
        <v>750</v>
      </c>
      <c r="I37" s="180">
        <v>850</v>
      </c>
      <c r="J37" s="180">
        <v>1.22</v>
      </c>
      <c r="K37" s="180">
        <v>1.1100000000000001</v>
      </c>
      <c r="L37" s="180">
        <v>1.22</v>
      </c>
      <c r="M37" s="180">
        <v>1.07</v>
      </c>
      <c r="N37" s="184">
        <v>1.05</v>
      </c>
      <c r="O37" s="184">
        <v>2.8000000000000003</v>
      </c>
      <c r="P37" s="180">
        <v>1.4000000000000001</v>
      </c>
      <c r="Q37" s="180">
        <v>1.24</v>
      </c>
      <c r="R37" s="180">
        <v>1.1300000000000001</v>
      </c>
      <c r="S37" s="180">
        <v>1.19</v>
      </c>
      <c r="T37" s="180">
        <v>1.5</v>
      </c>
      <c r="U37" s="180">
        <v>1.48</v>
      </c>
      <c r="V37" s="180">
        <v>1.1000000000000001</v>
      </c>
      <c r="W37" s="180">
        <v>1.0900000000000001</v>
      </c>
      <c r="X37" s="184">
        <v>1.07</v>
      </c>
    </row>
    <row r="38" spans="1:24" ht="30" customHeight="1" x14ac:dyDescent="0.25">
      <c r="A38" s="180">
        <v>34</v>
      </c>
      <c r="B38" s="180">
        <v>860</v>
      </c>
      <c r="C38" s="180"/>
      <c r="D38" s="180"/>
      <c r="E38" s="180" t="str">
        <f t="shared" si="0"/>
        <v>900/960</v>
      </c>
      <c r="F38" s="180" t="s">
        <v>182</v>
      </c>
      <c r="G38" s="180"/>
      <c r="H38" s="180">
        <v>800</v>
      </c>
      <c r="I38" s="180">
        <v>860</v>
      </c>
      <c r="J38" s="180">
        <v>1.1599999999999999</v>
      </c>
      <c r="K38" s="180">
        <v>1.1000000000000001</v>
      </c>
      <c r="L38" s="180">
        <v>1.23</v>
      </c>
      <c r="M38" s="180">
        <v>1.36</v>
      </c>
      <c r="N38" s="184">
        <v>1.04</v>
      </c>
      <c r="O38" s="184">
        <v>2.7800000000000002</v>
      </c>
      <c r="P38" s="180">
        <v>1.31</v>
      </c>
      <c r="Q38" s="180">
        <v>1.22</v>
      </c>
      <c r="R38" s="180">
        <v>1.25</v>
      </c>
      <c r="S38" s="180">
        <v>1.1599999999999999</v>
      </c>
      <c r="T38" s="180">
        <v>1.41</v>
      </c>
      <c r="U38" s="180">
        <v>1.41</v>
      </c>
      <c r="V38" s="180">
        <v>1.08</v>
      </c>
      <c r="W38" s="180">
        <v>1.07</v>
      </c>
      <c r="X38" s="184">
        <v>1.07</v>
      </c>
    </row>
    <row r="39" spans="1:24" ht="30" customHeight="1" x14ac:dyDescent="0.25">
      <c r="A39" s="180">
        <v>35</v>
      </c>
      <c r="B39" s="180">
        <v>900</v>
      </c>
      <c r="C39" s="180"/>
      <c r="D39" s="180"/>
      <c r="E39" s="180" t="str">
        <f t="shared" si="0"/>
        <v>900/1000</v>
      </c>
      <c r="F39" s="180" t="s">
        <v>182</v>
      </c>
      <c r="G39" s="180"/>
      <c r="H39" s="180">
        <v>800</v>
      </c>
      <c r="I39" s="180">
        <v>900</v>
      </c>
      <c r="J39" s="180">
        <v>1.1599999999999999</v>
      </c>
      <c r="K39" s="180">
        <v>1.1500000000000001</v>
      </c>
      <c r="L39" s="180">
        <v>1.19</v>
      </c>
      <c r="M39" s="180">
        <v>1.1200000000000001</v>
      </c>
      <c r="N39" s="184">
        <v>1.04</v>
      </c>
      <c r="O39" s="184">
        <v>2.59</v>
      </c>
      <c r="P39" s="180">
        <v>1.31</v>
      </c>
      <c r="Q39" s="180">
        <v>1.1599999999999999</v>
      </c>
      <c r="R39" s="180">
        <v>1.25</v>
      </c>
      <c r="S39" s="180">
        <v>1.1100000000000001</v>
      </c>
      <c r="T39" s="180">
        <v>1.41</v>
      </c>
      <c r="U39" s="180">
        <v>1.4000000000000001</v>
      </c>
      <c r="V39" s="180">
        <v>1.08</v>
      </c>
      <c r="W39" s="180">
        <v>1.08</v>
      </c>
      <c r="X39" s="184">
        <v>1.1000000000000001</v>
      </c>
    </row>
    <row r="40" spans="1:24" ht="30" customHeight="1" x14ac:dyDescent="0.25">
      <c r="A40" s="180">
        <v>36</v>
      </c>
      <c r="B40" s="180">
        <v>910</v>
      </c>
      <c r="C40" s="180"/>
      <c r="D40" s="180"/>
      <c r="E40" s="180" t="str">
        <f t="shared" si="0"/>
        <v>950/1050</v>
      </c>
      <c r="F40" s="180" t="s">
        <v>182</v>
      </c>
      <c r="G40" s="180"/>
      <c r="H40" s="180">
        <v>850</v>
      </c>
      <c r="I40" s="180">
        <v>910</v>
      </c>
      <c r="J40" s="180">
        <v>1.1100000000000001</v>
      </c>
      <c r="K40" s="180">
        <v>1.19</v>
      </c>
      <c r="L40" s="180">
        <v>1.1100000000000001</v>
      </c>
      <c r="M40" s="180">
        <v>1.21</v>
      </c>
      <c r="N40" s="184">
        <v>1.04</v>
      </c>
      <c r="O40" s="184">
        <v>2.57</v>
      </c>
      <c r="P40" s="180">
        <v>1.23</v>
      </c>
      <c r="Q40" s="180">
        <v>1.25</v>
      </c>
      <c r="R40" s="180">
        <v>1.18</v>
      </c>
      <c r="S40" s="180">
        <v>1.1000000000000001</v>
      </c>
      <c r="T40" s="180">
        <v>1.33</v>
      </c>
      <c r="U40" s="180">
        <v>1.34</v>
      </c>
      <c r="V40" s="180">
        <v>1.07</v>
      </c>
      <c r="W40" s="180">
        <v>1.07</v>
      </c>
      <c r="X40" s="184">
        <v>1.1000000000000001</v>
      </c>
    </row>
    <row r="41" spans="1:24" ht="30" customHeight="1" x14ac:dyDescent="0.25">
      <c r="A41" s="180">
        <v>37</v>
      </c>
      <c r="B41" s="180">
        <v>950</v>
      </c>
      <c r="C41" s="180"/>
      <c r="D41" s="180"/>
      <c r="E41" s="180" t="str">
        <f t="shared" si="0"/>
        <v>1000/1100</v>
      </c>
      <c r="F41" s="180" t="s">
        <v>182</v>
      </c>
      <c r="G41" s="180"/>
      <c r="H41" s="180">
        <v>850</v>
      </c>
      <c r="I41" s="180">
        <v>950</v>
      </c>
      <c r="J41" s="180">
        <v>1.1000000000000001</v>
      </c>
      <c r="K41" s="180">
        <v>1.23</v>
      </c>
      <c r="L41" s="180">
        <v>1.1599999999999999</v>
      </c>
      <c r="M41" s="180">
        <v>1.21</v>
      </c>
      <c r="N41" s="184">
        <v>1.04</v>
      </c>
      <c r="O41" s="184">
        <v>2.4</v>
      </c>
      <c r="P41" s="180">
        <v>1.23</v>
      </c>
      <c r="Q41" s="180">
        <v>1.46</v>
      </c>
      <c r="R41" s="180">
        <v>1.17</v>
      </c>
      <c r="S41" s="180">
        <v>1.4000000000000001</v>
      </c>
      <c r="T41" s="180">
        <v>1.33</v>
      </c>
      <c r="U41" s="180">
        <v>1.33</v>
      </c>
      <c r="V41" s="180">
        <v>1.07</v>
      </c>
      <c r="W41" s="180">
        <v>1.06</v>
      </c>
      <c r="X41" s="184">
        <v>1.1399999999999999</v>
      </c>
    </row>
    <row r="42" spans="1:24" ht="30" customHeight="1" x14ac:dyDescent="0.25">
      <c r="A42" s="180">
        <v>38</v>
      </c>
      <c r="B42" s="180">
        <v>960</v>
      </c>
      <c r="C42" s="180"/>
      <c r="D42" s="180"/>
      <c r="E42" s="180" t="str">
        <f t="shared" si="0"/>
        <v>1100/1200</v>
      </c>
      <c r="F42" s="180" t="s">
        <v>182</v>
      </c>
      <c r="G42" s="180"/>
      <c r="H42" s="180">
        <v>900</v>
      </c>
      <c r="I42" s="180">
        <v>960</v>
      </c>
      <c r="J42" s="180">
        <v>1.1200000000000001</v>
      </c>
      <c r="K42" s="180">
        <v>1.21</v>
      </c>
      <c r="L42" s="180">
        <v>1.2</v>
      </c>
      <c r="M42" s="180">
        <v>1.33</v>
      </c>
      <c r="N42" s="184">
        <v>1.06</v>
      </c>
      <c r="O42" s="184">
        <v>2.39</v>
      </c>
      <c r="P42" s="180">
        <v>1.42</v>
      </c>
      <c r="Q42" s="180">
        <v>1.44</v>
      </c>
      <c r="R42" s="180">
        <v>1.1100000000000001</v>
      </c>
      <c r="S42" s="180">
        <v>1.3900000000000001</v>
      </c>
      <c r="T42" s="180">
        <v>1.27</v>
      </c>
      <c r="U42" s="180">
        <v>1.27</v>
      </c>
      <c r="V42" s="180">
        <v>1.47</v>
      </c>
      <c r="W42" s="180">
        <v>1.4000000000000001</v>
      </c>
      <c r="X42" s="184">
        <v>1.1399999999999999</v>
      </c>
    </row>
    <row r="43" spans="1:24" ht="30" customHeight="1" x14ac:dyDescent="0.25">
      <c r="A43" s="180">
        <v>39</v>
      </c>
      <c r="B43" s="180">
        <v>1000</v>
      </c>
      <c r="C43" s="180"/>
      <c r="D43" s="180"/>
      <c r="E43" s="180" t="str">
        <f t="shared" si="0"/>
        <v>1200/1300</v>
      </c>
      <c r="F43" s="180" t="s">
        <v>182</v>
      </c>
      <c r="G43" s="180"/>
      <c r="H43" s="180">
        <v>900</v>
      </c>
      <c r="I43" s="180">
        <v>1000</v>
      </c>
      <c r="J43" s="180">
        <v>1.1100000000000001</v>
      </c>
      <c r="K43" s="180">
        <v>1.1400000000000001</v>
      </c>
      <c r="L43" s="180">
        <v>1.1599999999999999</v>
      </c>
      <c r="M43" s="180">
        <v>1.24</v>
      </c>
      <c r="N43" s="184">
        <v>1.06</v>
      </c>
      <c r="O43" s="184">
        <v>2.23</v>
      </c>
      <c r="P43" s="180">
        <v>1.42</v>
      </c>
      <c r="Q43" s="180">
        <v>1.3900000000000001</v>
      </c>
      <c r="R43" s="180">
        <v>1.1100000000000001</v>
      </c>
      <c r="S43" s="180">
        <v>1.33</v>
      </c>
      <c r="T43" s="180">
        <v>1.32</v>
      </c>
      <c r="U43" s="180">
        <v>1.59</v>
      </c>
      <c r="V43" s="180">
        <v>1.8</v>
      </c>
      <c r="W43" s="180">
        <v>1.62</v>
      </c>
      <c r="X43" s="184">
        <v>1.1599999999999999</v>
      </c>
    </row>
    <row r="44" spans="1:24" ht="30" customHeight="1" x14ac:dyDescent="0.25">
      <c r="A44" s="180">
        <v>40</v>
      </c>
      <c r="B44" s="180">
        <v>1050</v>
      </c>
      <c r="C44" s="180"/>
      <c r="D44" s="180"/>
      <c r="E44" s="180" t="str">
        <f t="shared" si="0"/>
        <v>1300/1400</v>
      </c>
      <c r="F44" s="180" t="s">
        <v>182</v>
      </c>
      <c r="G44" s="180"/>
      <c r="H44" s="180">
        <v>950</v>
      </c>
      <c r="I44" s="180">
        <v>1050</v>
      </c>
      <c r="J44" s="180">
        <v>1.17</v>
      </c>
      <c r="K44" s="180">
        <v>1.08</v>
      </c>
      <c r="L44" s="180">
        <v>1.27</v>
      </c>
      <c r="M44" s="180">
        <v>1.1500000000000001</v>
      </c>
      <c r="N44" s="184">
        <v>1.05</v>
      </c>
      <c r="O44" s="184">
        <v>2.08</v>
      </c>
      <c r="P44" s="180">
        <v>1.71</v>
      </c>
      <c r="Q44" s="180">
        <v>1.55</v>
      </c>
      <c r="R44" s="180">
        <v>1.4000000000000001</v>
      </c>
      <c r="S44" s="180">
        <v>1.27</v>
      </c>
      <c r="T44" s="180">
        <v>1.59</v>
      </c>
      <c r="U44" s="180">
        <v>1.44</v>
      </c>
      <c r="V44" s="180">
        <v>2.17</v>
      </c>
      <c r="W44" s="180">
        <v>1.97</v>
      </c>
      <c r="X44" s="184">
        <v>1.18</v>
      </c>
    </row>
    <row r="45" spans="1:24" ht="30" customHeight="1" x14ac:dyDescent="0.25">
      <c r="A45" s="180">
        <v>41</v>
      </c>
      <c r="B45" s="180">
        <v>1100</v>
      </c>
      <c r="C45" s="180"/>
      <c r="D45" s="180"/>
      <c r="E45" s="180" t="str">
        <f t="shared" si="0"/>
        <v>1400/1500</v>
      </c>
      <c r="F45" s="180" t="s">
        <v>182</v>
      </c>
      <c r="G45" s="180"/>
      <c r="H45" s="180">
        <v>1000</v>
      </c>
      <c r="I45" s="180">
        <v>1100</v>
      </c>
      <c r="J45" s="180">
        <v>1.1100000000000001</v>
      </c>
      <c r="K45" s="180">
        <v>1.18</v>
      </c>
      <c r="L45" s="180">
        <v>1.17</v>
      </c>
      <c r="M45" s="180">
        <v>1.31</v>
      </c>
      <c r="N45" s="184">
        <v>1.31</v>
      </c>
      <c r="O45" s="184">
        <v>1.95</v>
      </c>
      <c r="P45" s="180">
        <v>1.55</v>
      </c>
      <c r="Q45" s="180">
        <v>1.41</v>
      </c>
      <c r="R45" s="180">
        <v>1.33</v>
      </c>
      <c r="S45" s="180">
        <v>1.21</v>
      </c>
      <c r="T45" s="180">
        <v>1.44</v>
      </c>
      <c r="U45" s="180">
        <v>1.32</v>
      </c>
      <c r="V45" s="180">
        <v>1.97</v>
      </c>
      <c r="W45" s="180">
        <v>1.79</v>
      </c>
      <c r="X45" s="184">
        <v>1.18</v>
      </c>
    </row>
    <row r="46" spans="1:24" ht="30" customHeight="1" x14ac:dyDescent="0.25">
      <c r="A46" s="180">
        <v>42</v>
      </c>
      <c r="B46" s="180">
        <v>1200</v>
      </c>
      <c r="C46" s="180"/>
      <c r="D46" s="180"/>
      <c r="E46" s="180"/>
      <c r="F46" s="180"/>
      <c r="G46" s="180"/>
      <c r="H46" s="180">
        <v>1100</v>
      </c>
      <c r="I46" s="180">
        <v>1200</v>
      </c>
      <c r="J46" s="180">
        <v>1.33</v>
      </c>
      <c r="K46" s="180">
        <v>1.22</v>
      </c>
      <c r="L46" s="180">
        <v>1.33</v>
      </c>
      <c r="M46" s="180">
        <v>1.24</v>
      </c>
      <c r="N46" s="184">
        <v>1.18</v>
      </c>
      <c r="O46" s="184">
        <v>1.95</v>
      </c>
      <c r="P46" s="180">
        <v>1.28</v>
      </c>
      <c r="Q46" s="180">
        <v>1.18</v>
      </c>
      <c r="R46" s="180">
        <v>1.21</v>
      </c>
      <c r="S46" s="180">
        <v>1.1000000000000001</v>
      </c>
      <c r="T46" s="180">
        <v>1.24</v>
      </c>
      <c r="U46" s="180">
        <v>1.1400000000000001</v>
      </c>
      <c r="V46" s="180">
        <v>1.6400000000000001</v>
      </c>
      <c r="W46" s="180">
        <v>1.51</v>
      </c>
      <c r="X46" s="184">
        <v>1.61</v>
      </c>
    </row>
    <row r="47" spans="1:24" ht="30" customHeight="1" x14ac:dyDescent="0.25">
      <c r="A47" s="180">
        <v>43</v>
      </c>
      <c r="B47" s="180">
        <v>1300</v>
      </c>
      <c r="C47" s="180"/>
      <c r="D47" s="180"/>
      <c r="E47" s="180"/>
      <c r="F47" s="180"/>
      <c r="G47" s="180"/>
      <c r="H47" s="180">
        <v>1200</v>
      </c>
      <c r="I47" s="180">
        <v>1300</v>
      </c>
      <c r="J47" s="180">
        <v>1.19</v>
      </c>
      <c r="K47" s="180">
        <v>1.1000000000000001</v>
      </c>
      <c r="L47" s="180">
        <v>1.1500000000000001</v>
      </c>
      <c r="M47" s="180">
        <v>1.2</v>
      </c>
      <c r="N47" s="184">
        <v>1.08</v>
      </c>
      <c r="O47" s="184">
        <v>1.81</v>
      </c>
      <c r="P47" s="180">
        <v>1.35</v>
      </c>
      <c r="Q47" s="180">
        <v>1.25</v>
      </c>
      <c r="R47" s="180">
        <v>1.1100000000000001</v>
      </c>
      <c r="S47" s="180">
        <v>1.27</v>
      </c>
      <c r="T47" s="180">
        <v>1.1400000000000001</v>
      </c>
      <c r="U47" s="180">
        <v>1.31</v>
      </c>
      <c r="V47" s="180">
        <v>1.3900000000000001</v>
      </c>
      <c r="W47" s="180">
        <v>1.34</v>
      </c>
      <c r="X47" s="184">
        <v>2</v>
      </c>
    </row>
    <row r="48" spans="1:24" ht="30" customHeight="1" x14ac:dyDescent="0.25">
      <c r="A48" s="180">
        <v>44</v>
      </c>
      <c r="B48" s="180">
        <v>1400</v>
      </c>
      <c r="C48" s="180"/>
      <c r="D48" s="180"/>
      <c r="E48" s="180"/>
      <c r="F48" s="180"/>
      <c r="G48" s="180"/>
      <c r="H48" s="180">
        <v>1300</v>
      </c>
      <c r="I48" s="180">
        <v>1400</v>
      </c>
      <c r="J48" s="180">
        <v>1.18</v>
      </c>
      <c r="K48" s="180">
        <v>1.1100000000000001</v>
      </c>
      <c r="L48" s="180" t="e">
        <v>#N/A</v>
      </c>
      <c r="M48" s="180" t="e">
        <v>#N/A</v>
      </c>
      <c r="N48" s="184">
        <v>1.05</v>
      </c>
      <c r="O48" s="184">
        <v>1.8800000000000001</v>
      </c>
      <c r="P48" s="180">
        <v>1.3900000000000001</v>
      </c>
      <c r="Q48" s="180">
        <v>1.29</v>
      </c>
      <c r="R48" s="180">
        <v>1.28</v>
      </c>
      <c r="S48" s="180">
        <v>1.19</v>
      </c>
      <c r="T48" s="180">
        <v>1.31</v>
      </c>
      <c r="U48" s="180">
        <v>1.21</v>
      </c>
      <c r="V48" s="180">
        <v>1.25</v>
      </c>
      <c r="W48" s="180">
        <v>1.25</v>
      </c>
      <c r="X48" s="184">
        <v>2.1</v>
      </c>
    </row>
    <row r="49" spans="1:24" ht="30" customHeight="1" x14ac:dyDescent="0.25">
      <c r="A49" s="180">
        <v>45</v>
      </c>
      <c r="B49" s="180">
        <v>1500</v>
      </c>
      <c r="C49" s="180"/>
      <c r="D49" s="180"/>
      <c r="E49" s="180"/>
      <c r="F49" s="180"/>
      <c r="G49" s="180"/>
      <c r="H49" s="180">
        <v>1400</v>
      </c>
      <c r="I49" s="180">
        <v>1500</v>
      </c>
      <c r="J49" s="180">
        <v>1.1200000000000001</v>
      </c>
      <c r="K49" s="180">
        <v>1.0900000000000001</v>
      </c>
      <c r="L49" s="180" t="e">
        <v>#N/A</v>
      </c>
      <c r="M49" s="180" t="e">
        <v>#N/A</v>
      </c>
      <c r="N49" s="184">
        <v>1.06</v>
      </c>
      <c r="O49" s="184">
        <v>1.84</v>
      </c>
      <c r="P49" s="180">
        <v>1.4000000000000001</v>
      </c>
      <c r="Q49" s="180">
        <v>1.31</v>
      </c>
      <c r="R49" s="180">
        <v>1.18</v>
      </c>
      <c r="S49" s="180">
        <v>1.1000000000000001</v>
      </c>
      <c r="T49" s="180">
        <v>1.21</v>
      </c>
      <c r="U49" s="180">
        <v>1.1300000000000001</v>
      </c>
      <c r="V49" s="180">
        <v>1.17</v>
      </c>
      <c r="W49" s="180">
        <v>1.45</v>
      </c>
      <c r="X49" s="184">
        <v>2.2000000000000002</v>
      </c>
    </row>
  </sheetData>
  <mergeCells count="10">
    <mergeCell ref="AH4:AI4"/>
    <mergeCell ref="AJ4:AK4"/>
    <mergeCell ref="AL4:AM4"/>
    <mergeCell ref="N4:O4"/>
    <mergeCell ref="J4:K4"/>
    <mergeCell ref="L4:M4"/>
    <mergeCell ref="P4:Q4"/>
    <mergeCell ref="R4:S4"/>
    <mergeCell ref="T4:U4"/>
    <mergeCell ref="V4:W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5</vt:i4>
      </vt:variant>
    </vt:vector>
  </HeadingPairs>
  <TitlesOfParts>
    <vt:vector size="10" baseType="lpstr">
      <vt:lpstr>Труба</vt:lpstr>
      <vt:lpstr>Расчёт болтов,герметика</vt:lpstr>
      <vt:lpstr>Взрывная врезка</vt:lpstr>
      <vt:lpstr>Стоимость и вес стали</vt:lpstr>
      <vt:lpstr>Коэффициенты</vt:lpstr>
      <vt:lpstr>СТАЛИ</vt:lpstr>
      <vt:lpstr>СТАЛИ1</vt:lpstr>
      <vt:lpstr>СТАЛИ2</vt:lpstr>
      <vt:lpstr>СТАЛИ3</vt:lpstr>
      <vt:lpstr>СТАЛИ4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pto</cp:lastModifiedBy>
  <dcterms:created xsi:type="dcterms:W3CDTF">2019-02-07T09:18:33Z</dcterms:created>
  <dcterms:modified xsi:type="dcterms:W3CDTF">2021-02-19T04:34:49Z</dcterms:modified>
</cp:coreProperties>
</file>