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-120" yWindow="-120" windowWidth="29040" windowHeight="15840"/>
  </bookViews>
  <sheets>
    <sheet name="планирование" sheetId="3" r:id="rId1"/>
  </sheets>
  <calcPr calcId="145621"/>
</workbook>
</file>

<file path=xl/calcChain.xml><?xml version="1.0" encoding="utf-8"?>
<calcChain xmlns="http://schemas.openxmlformats.org/spreadsheetml/2006/main">
  <c r="I159" i="3" l="1"/>
  <c r="L159" i="3"/>
  <c r="H159" i="3"/>
  <c r="O159" i="3"/>
  <c r="J156" i="3"/>
  <c r="H156" i="3"/>
  <c r="L153" i="3"/>
  <c r="O153" i="3"/>
  <c r="H150" i="3"/>
  <c r="O147" i="3"/>
  <c r="J144" i="3"/>
  <c r="H144" i="3"/>
  <c r="M144" i="3"/>
  <c r="O144" i="3"/>
  <c r="O141" i="3"/>
  <c r="V135" i="3"/>
  <c r="I135" i="3"/>
  <c r="H135" i="3"/>
  <c r="V132" i="3"/>
  <c r="P132" i="3"/>
  <c r="N132" i="3"/>
  <c r="H132" i="3"/>
  <c r="V133" i="3"/>
  <c r="G133" i="3"/>
  <c r="V129" i="3"/>
  <c r="N129" i="3"/>
  <c r="M129" i="3"/>
  <c r="L129" i="3"/>
  <c r="I129" i="3"/>
  <c r="P129" i="3"/>
  <c r="H129" i="3"/>
  <c r="V130" i="3"/>
  <c r="L123" i="3"/>
  <c r="I120" i="3"/>
  <c r="G120" i="3"/>
  <c r="J117" i="3"/>
  <c r="I117" i="3"/>
  <c r="H117" i="3"/>
  <c r="V108" i="3"/>
  <c r="H108" i="3"/>
  <c r="G108" i="3"/>
  <c r="M105" i="3"/>
  <c r="L105" i="3"/>
  <c r="I102" i="3"/>
  <c r="G102" i="3"/>
  <c r="V102" i="3"/>
  <c r="N99" i="3"/>
  <c r="V99" i="3"/>
  <c r="G100" i="3"/>
  <c r="M96" i="3"/>
  <c r="L96" i="3"/>
  <c r="G96" i="3"/>
  <c r="V96" i="3"/>
  <c r="V97" i="3"/>
  <c r="G97" i="3"/>
  <c r="K93" i="3"/>
  <c r="K94" i="3"/>
  <c r="K24" i="3"/>
  <c r="L21" i="3"/>
  <c r="L118" i="3"/>
  <c r="H87" i="3"/>
  <c r="V87" i="3"/>
  <c r="P84" i="3"/>
  <c r="V84" i="3"/>
  <c r="I84" i="3"/>
  <c r="H84" i="3"/>
  <c r="L84" i="3"/>
  <c r="G84" i="3"/>
  <c r="N84" i="3"/>
  <c r="H81" i="3"/>
  <c r="V78" i="3"/>
  <c r="H75" i="3"/>
  <c r="AA75" i="3"/>
  <c r="AA76" i="3"/>
  <c r="L72" i="3"/>
  <c r="AA71" i="3"/>
  <c r="O71" i="3"/>
  <c r="I71" i="3"/>
  <c r="G71" i="3"/>
  <c r="I65" i="3"/>
  <c r="H61" i="3"/>
  <c r="G58" i="3"/>
  <c r="O58" i="3"/>
  <c r="N58" i="3"/>
  <c r="I58" i="3"/>
  <c r="V58" i="3"/>
  <c r="M58" i="3"/>
  <c r="F58" i="3"/>
  <c r="L55" i="3"/>
  <c r="O55" i="3"/>
  <c r="L52" i="3"/>
  <c r="O52" i="3"/>
  <c r="H41" i="3"/>
  <c r="I41" i="3"/>
  <c r="I45" i="3"/>
  <c r="V38" i="3"/>
  <c r="P38" i="3"/>
  <c r="N38" i="3"/>
  <c r="M38" i="3"/>
  <c r="J38" i="3"/>
  <c r="H38" i="3"/>
  <c r="G38" i="3"/>
  <c r="V39" i="3"/>
  <c r="L39" i="3"/>
  <c r="V35" i="3"/>
  <c r="G35" i="3"/>
  <c r="O35" i="3"/>
  <c r="V32" i="3"/>
  <c r="P32" i="3"/>
  <c r="N32" i="3"/>
  <c r="H32" i="3"/>
  <c r="O32" i="3"/>
  <c r="G29" i="3"/>
  <c r="V29" i="3"/>
  <c r="N29" i="3"/>
  <c r="M29" i="3"/>
  <c r="J29" i="3"/>
  <c r="H29" i="3"/>
  <c r="G26" i="3"/>
  <c r="V26" i="3"/>
  <c r="H26" i="3"/>
  <c r="I23" i="3"/>
  <c r="V23" i="3"/>
  <c r="O23" i="3"/>
  <c r="V20" i="3"/>
  <c r="O20" i="3"/>
  <c r="N20" i="3"/>
  <c r="M20" i="3"/>
  <c r="L20" i="3"/>
  <c r="I20" i="3"/>
  <c r="P20" i="3"/>
  <c r="AD21" i="3"/>
  <c r="V21" i="3"/>
  <c r="O21" i="3"/>
  <c r="V17" i="3"/>
  <c r="N17" i="3"/>
  <c r="M17" i="3"/>
  <c r="L17" i="3"/>
  <c r="I17" i="3"/>
  <c r="AD18" i="3"/>
  <c r="V18" i="3"/>
  <c r="O18" i="3"/>
  <c r="M18" i="3"/>
  <c r="L18" i="3"/>
  <c r="I18" i="3"/>
  <c r="G15" i="3"/>
  <c r="P15" i="3"/>
  <c r="V11" i="3"/>
  <c r="H11" i="3"/>
  <c r="O11" i="3"/>
  <c r="G8" i="3"/>
  <c r="V8" i="3"/>
  <c r="O8" i="3"/>
  <c r="V5" i="3"/>
  <c r="P5" i="3"/>
  <c r="M5" i="3"/>
  <c r="O5" i="3"/>
  <c r="L5" i="3"/>
  <c r="N6" i="3"/>
  <c r="AA2" i="3"/>
  <c r="B95" i="3"/>
  <c r="D91" i="3" l="1"/>
  <c r="D90" i="3"/>
  <c r="D160" i="3"/>
  <c r="D159" i="3"/>
  <c r="D157" i="3"/>
  <c r="D156" i="3"/>
  <c r="D154" i="3"/>
  <c r="D153" i="3"/>
  <c r="D151" i="3"/>
  <c r="D150" i="3"/>
  <c r="D148" i="3"/>
  <c r="D147" i="3"/>
  <c r="D145" i="3"/>
  <c r="D144" i="3"/>
  <c r="D142" i="3"/>
  <c r="D141" i="3"/>
  <c r="D139" i="3"/>
  <c r="D138" i="3"/>
  <c r="D136" i="3"/>
  <c r="D135" i="3"/>
  <c r="D133" i="3"/>
  <c r="D132" i="3"/>
  <c r="D130" i="3"/>
  <c r="D129" i="3"/>
  <c r="D127" i="3"/>
  <c r="D126" i="3"/>
  <c r="D124" i="3"/>
  <c r="D123" i="3"/>
  <c r="D121" i="3"/>
  <c r="D120" i="3"/>
  <c r="D118" i="3"/>
  <c r="D117" i="3"/>
  <c r="D115" i="3"/>
  <c r="D114" i="3"/>
  <c r="D112" i="3"/>
  <c r="D111" i="3"/>
  <c r="D109" i="3"/>
  <c r="D108" i="3"/>
  <c r="D106" i="3"/>
  <c r="D105" i="3"/>
  <c r="D103" i="3"/>
  <c r="D102" i="3"/>
  <c r="D100" i="3"/>
  <c r="D99" i="3"/>
  <c r="D97" i="3"/>
  <c r="D96" i="3"/>
  <c r="D88" i="3"/>
  <c r="D87" i="3"/>
  <c r="D85" i="3"/>
  <c r="D84" i="3"/>
  <c r="D82" i="3"/>
  <c r="D81" i="3"/>
  <c r="D79" i="3"/>
  <c r="D78" i="3"/>
  <c r="D76" i="3"/>
  <c r="D75" i="3"/>
  <c r="D72" i="3"/>
  <c r="D71" i="3"/>
  <c r="D69" i="3"/>
  <c r="D68" i="3"/>
  <c r="D66" i="3"/>
  <c r="D65" i="3"/>
  <c r="D62" i="3"/>
  <c r="D61" i="3"/>
  <c r="D59" i="3"/>
  <c r="D58" i="3"/>
  <c r="D56" i="3"/>
  <c r="D55" i="3"/>
  <c r="D53" i="3"/>
  <c r="D52" i="3"/>
  <c r="D50" i="3"/>
  <c r="D45" i="3"/>
  <c r="D44" i="3"/>
  <c r="D42" i="3"/>
  <c r="D41" i="3"/>
  <c r="D39" i="3"/>
  <c r="D38" i="3"/>
  <c r="D36" i="3"/>
  <c r="D35" i="3"/>
  <c r="D33" i="3"/>
  <c r="D32" i="3"/>
  <c r="D30" i="3"/>
  <c r="D29" i="3"/>
  <c r="D27" i="3"/>
  <c r="D26" i="3"/>
  <c r="D24" i="3"/>
  <c r="D23" i="3"/>
  <c r="D21" i="3"/>
  <c r="D20" i="3"/>
  <c r="D18" i="3"/>
  <c r="D17" i="3"/>
  <c r="D15" i="3"/>
  <c r="D14" i="3"/>
  <c r="D12" i="3"/>
  <c r="D11" i="3"/>
  <c r="D9" i="3"/>
  <c r="D8" i="3"/>
  <c r="D6" i="3"/>
  <c r="D5" i="3"/>
  <c r="D3" i="3"/>
  <c r="D2" i="3"/>
  <c r="D94" i="3"/>
  <c r="D93" i="3"/>
  <c r="AD165" i="3" l="1"/>
  <c r="AD166" i="3"/>
  <c r="F95" i="3" l="1"/>
  <c r="G95" i="3" s="1"/>
  <c r="H95" i="3" s="1"/>
  <c r="I95" i="3" s="1"/>
  <c r="J95" i="3" s="1"/>
  <c r="K95" i="3" s="1"/>
  <c r="F92" i="3"/>
  <c r="G92" i="3" s="1"/>
  <c r="H92" i="3" s="1"/>
  <c r="I92" i="3" s="1"/>
  <c r="J92" i="3" s="1"/>
  <c r="K92" i="3" s="1"/>
  <c r="L92" i="3" s="1"/>
  <c r="M92" i="3" s="1"/>
  <c r="N92" i="3" s="1"/>
  <c r="O92" i="3" s="1"/>
  <c r="P92" i="3" s="1"/>
  <c r="Q92" i="3" s="1"/>
  <c r="R92" i="3" s="1"/>
  <c r="S92" i="3" s="1"/>
  <c r="T92" i="3" s="1"/>
  <c r="U92" i="3" s="1"/>
  <c r="V92" i="3" s="1"/>
  <c r="W92" i="3" s="1"/>
  <c r="X92" i="3" s="1"/>
  <c r="Y92" i="3" s="1"/>
  <c r="Z92" i="3" s="1"/>
  <c r="AA92" i="3" s="1"/>
  <c r="AB92" i="3" s="1"/>
  <c r="AC92" i="3" s="1"/>
  <c r="AD92" i="3" s="1"/>
  <c r="F161" i="3"/>
  <c r="G161" i="3" s="1"/>
  <c r="H161" i="3" s="1"/>
  <c r="I161" i="3" s="1"/>
  <c r="J161" i="3" s="1"/>
  <c r="K161" i="3" s="1"/>
  <c r="L161" i="3" s="1"/>
  <c r="M161" i="3" s="1"/>
  <c r="N161" i="3" s="1"/>
  <c r="O161" i="3" s="1"/>
  <c r="P161" i="3" s="1"/>
  <c r="Q161" i="3" s="1"/>
  <c r="R161" i="3" s="1"/>
  <c r="S161" i="3" s="1"/>
  <c r="T161" i="3" s="1"/>
  <c r="U161" i="3" s="1"/>
  <c r="V161" i="3" s="1"/>
  <c r="W161" i="3" s="1"/>
  <c r="X161" i="3" s="1"/>
  <c r="Y161" i="3" s="1"/>
  <c r="Z161" i="3" s="1"/>
  <c r="AA161" i="3" s="1"/>
  <c r="AB161" i="3" s="1"/>
  <c r="AC161" i="3" s="1"/>
  <c r="AD161" i="3" s="1"/>
  <c r="F158" i="3"/>
  <c r="G158" i="3" s="1"/>
  <c r="H158" i="3" s="1"/>
  <c r="I158" i="3" s="1"/>
  <c r="J158" i="3" s="1"/>
  <c r="K158" i="3" s="1"/>
  <c r="L158" i="3" s="1"/>
  <c r="M158" i="3" s="1"/>
  <c r="N158" i="3" s="1"/>
  <c r="O158" i="3" s="1"/>
  <c r="P158" i="3" s="1"/>
  <c r="Q158" i="3" s="1"/>
  <c r="R158" i="3" s="1"/>
  <c r="S158" i="3" s="1"/>
  <c r="T158" i="3" s="1"/>
  <c r="U158" i="3" s="1"/>
  <c r="V158" i="3" s="1"/>
  <c r="W158" i="3" s="1"/>
  <c r="X158" i="3" s="1"/>
  <c r="Y158" i="3" s="1"/>
  <c r="Z158" i="3" s="1"/>
  <c r="AA158" i="3" s="1"/>
  <c r="AB158" i="3" s="1"/>
  <c r="AC158" i="3" s="1"/>
  <c r="AD158" i="3" s="1"/>
  <c r="F155" i="3"/>
  <c r="G155" i="3" s="1"/>
  <c r="H155" i="3" s="1"/>
  <c r="I155" i="3" s="1"/>
  <c r="J155" i="3" s="1"/>
  <c r="K155" i="3" s="1"/>
  <c r="L155" i="3" s="1"/>
  <c r="M155" i="3" s="1"/>
  <c r="N155" i="3" s="1"/>
  <c r="O155" i="3" s="1"/>
  <c r="P155" i="3" s="1"/>
  <c r="Q155" i="3" s="1"/>
  <c r="R155" i="3" s="1"/>
  <c r="S155" i="3" s="1"/>
  <c r="T155" i="3" s="1"/>
  <c r="U155" i="3" s="1"/>
  <c r="V155" i="3" s="1"/>
  <c r="W155" i="3" s="1"/>
  <c r="X155" i="3" s="1"/>
  <c r="Y155" i="3" s="1"/>
  <c r="Z155" i="3" s="1"/>
  <c r="AA155" i="3" s="1"/>
  <c r="AB155" i="3" s="1"/>
  <c r="AC155" i="3" s="1"/>
  <c r="AD155" i="3" s="1"/>
  <c r="F152" i="3"/>
  <c r="G152" i="3" s="1"/>
  <c r="H152" i="3" s="1"/>
  <c r="I152" i="3" s="1"/>
  <c r="J152" i="3" s="1"/>
  <c r="K152" i="3" s="1"/>
  <c r="L152" i="3" s="1"/>
  <c r="M152" i="3" s="1"/>
  <c r="N152" i="3" s="1"/>
  <c r="O152" i="3" s="1"/>
  <c r="P152" i="3" s="1"/>
  <c r="Q152" i="3" s="1"/>
  <c r="R152" i="3" s="1"/>
  <c r="S152" i="3" s="1"/>
  <c r="T152" i="3" s="1"/>
  <c r="U152" i="3" s="1"/>
  <c r="V152" i="3" s="1"/>
  <c r="W152" i="3" s="1"/>
  <c r="X152" i="3" s="1"/>
  <c r="Y152" i="3" s="1"/>
  <c r="Z152" i="3" s="1"/>
  <c r="AA152" i="3" s="1"/>
  <c r="AB152" i="3" s="1"/>
  <c r="AC152" i="3" s="1"/>
  <c r="AD152" i="3" s="1"/>
  <c r="F149" i="3"/>
  <c r="G149" i="3" s="1"/>
  <c r="H149" i="3" s="1"/>
  <c r="I149" i="3" s="1"/>
  <c r="J149" i="3" s="1"/>
  <c r="K149" i="3" s="1"/>
  <c r="L149" i="3" s="1"/>
  <c r="M149" i="3" s="1"/>
  <c r="N149" i="3" s="1"/>
  <c r="O149" i="3" s="1"/>
  <c r="P149" i="3" s="1"/>
  <c r="Q149" i="3" s="1"/>
  <c r="R149" i="3" s="1"/>
  <c r="S149" i="3" s="1"/>
  <c r="T149" i="3" s="1"/>
  <c r="U149" i="3" s="1"/>
  <c r="V149" i="3" s="1"/>
  <c r="W149" i="3" s="1"/>
  <c r="X149" i="3" s="1"/>
  <c r="Y149" i="3" s="1"/>
  <c r="Z149" i="3" s="1"/>
  <c r="AA149" i="3" s="1"/>
  <c r="AB149" i="3" s="1"/>
  <c r="AC149" i="3" s="1"/>
  <c r="AD149" i="3" s="1"/>
  <c r="F146" i="3"/>
  <c r="G146" i="3" s="1"/>
  <c r="H146" i="3" s="1"/>
  <c r="I146" i="3" s="1"/>
  <c r="J146" i="3" s="1"/>
  <c r="K146" i="3" s="1"/>
  <c r="L146" i="3" s="1"/>
  <c r="M146" i="3" s="1"/>
  <c r="N146" i="3" s="1"/>
  <c r="O146" i="3" s="1"/>
  <c r="P146" i="3" s="1"/>
  <c r="Q146" i="3" s="1"/>
  <c r="R146" i="3" s="1"/>
  <c r="S146" i="3" s="1"/>
  <c r="T146" i="3" s="1"/>
  <c r="U146" i="3" s="1"/>
  <c r="V146" i="3" s="1"/>
  <c r="W146" i="3" s="1"/>
  <c r="X146" i="3" s="1"/>
  <c r="Y146" i="3" s="1"/>
  <c r="Z146" i="3" s="1"/>
  <c r="AA146" i="3" s="1"/>
  <c r="AB146" i="3" s="1"/>
  <c r="AC146" i="3" s="1"/>
  <c r="AD146" i="3" s="1"/>
  <c r="F143" i="3"/>
  <c r="G143" i="3" s="1"/>
  <c r="H143" i="3" s="1"/>
  <c r="I143" i="3" s="1"/>
  <c r="J143" i="3" s="1"/>
  <c r="K143" i="3" s="1"/>
  <c r="L143" i="3" s="1"/>
  <c r="M143" i="3" s="1"/>
  <c r="N143" i="3" s="1"/>
  <c r="O143" i="3" s="1"/>
  <c r="P143" i="3" s="1"/>
  <c r="Q143" i="3" s="1"/>
  <c r="R143" i="3" s="1"/>
  <c r="S143" i="3" s="1"/>
  <c r="T143" i="3" s="1"/>
  <c r="U143" i="3" s="1"/>
  <c r="V143" i="3" s="1"/>
  <c r="W143" i="3" s="1"/>
  <c r="X143" i="3" s="1"/>
  <c r="Y143" i="3" s="1"/>
  <c r="Z143" i="3" s="1"/>
  <c r="AA143" i="3" s="1"/>
  <c r="AB143" i="3" s="1"/>
  <c r="AC143" i="3" s="1"/>
  <c r="AD143" i="3" s="1"/>
  <c r="F140" i="3"/>
  <c r="G140" i="3" s="1"/>
  <c r="H140" i="3" s="1"/>
  <c r="I140" i="3" s="1"/>
  <c r="J140" i="3" s="1"/>
  <c r="K140" i="3" s="1"/>
  <c r="L140" i="3" s="1"/>
  <c r="M140" i="3" s="1"/>
  <c r="N140" i="3" s="1"/>
  <c r="O140" i="3" s="1"/>
  <c r="P140" i="3" s="1"/>
  <c r="Q140" i="3" s="1"/>
  <c r="R140" i="3" s="1"/>
  <c r="S140" i="3" s="1"/>
  <c r="T140" i="3" s="1"/>
  <c r="U140" i="3" s="1"/>
  <c r="V140" i="3" s="1"/>
  <c r="W140" i="3" s="1"/>
  <c r="X140" i="3" s="1"/>
  <c r="Y140" i="3" s="1"/>
  <c r="Z140" i="3" s="1"/>
  <c r="AA140" i="3" s="1"/>
  <c r="AB140" i="3" s="1"/>
  <c r="AC140" i="3" s="1"/>
  <c r="AD140" i="3" s="1"/>
  <c r="F137" i="3"/>
  <c r="G137" i="3" s="1"/>
  <c r="H137" i="3" s="1"/>
  <c r="I137" i="3" s="1"/>
  <c r="J137" i="3" s="1"/>
  <c r="K137" i="3" s="1"/>
  <c r="L137" i="3" s="1"/>
  <c r="M137" i="3" s="1"/>
  <c r="N137" i="3" s="1"/>
  <c r="O137" i="3" s="1"/>
  <c r="P137" i="3" s="1"/>
  <c r="Q137" i="3" s="1"/>
  <c r="R137" i="3" s="1"/>
  <c r="S137" i="3" s="1"/>
  <c r="T137" i="3" s="1"/>
  <c r="U137" i="3" s="1"/>
  <c r="V137" i="3" s="1"/>
  <c r="W137" i="3" s="1"/>
  <c r="X137" i="3" s="1"/>
  <c r="Y137" i="3" s="1"/>
  <c r="Z137" i="3" s="1"/>
  <c r="AA137" i="3" s="1"/>
  <c r="AB137" i="3" s="1"/>
  <c r="AC137" i="3" s="1"/>
  <c r="AD137" i="3" s="1"/>
  <c r="F134" i="3"/>
  <c r="G134" i="3" s="1"/>
  <c r="H134" i="3" s="1"/>
  <c r="I134" i="3" s="1"/>
  <c r="J134" i="3" s="1"/>
  <c r="K134" i="3" s="1"/>
  <c r="L134" i="3" s="1"/>
  <c r="M134" i="3" s="1"/>
  <c r="N134" i="3" s="1"/>
  <c r="O134" i="3" s="1"/>
  <c r="P134" i="3" s="1"/>
  <c r="Q134" i="3" s="1"/>
  <c r="R134" i="3" s="1"/>
  <c r="S134" i="3" s="1"/>
  <c r="T134" i="3" s="1"/>
  <c r="U134" i="3" s="1"/>
  <c r="V134" i="3" s="1"/>
  <c r="W134" i="3" s="1"/>
  <c r="X134" i="3" s="1"/>
  <c r="Y134" i="3" s="1"/>
  <c r="Z134" i="3" s="1"/>
  <c r="AA134" i="3" s="1"/>
  <c r="AB134" i="3" s="1"/>
  <c r="AC134" i="3" s="1"/>
  <c r="AD134" i="3" s="1"/>
  <c r="F131" i="3"/>
  <c r="G131" i="3" s="1"/>
  <c r="H131" i="3" s="1"/>
  <c r="I131" i="3" s="1"/>
  <c r="J131" i="3" s="1"/>
  <c r="K131" i="3" s="1"/>
  <c r="L131" i="3" s="1"/>
  <c r="M131" i="3" s="1"/>
  <c r="N131" i="3" s="1"/>
  <c r="O131" i="3" s="1"/>
  <c r="P131" i="3" s="1"/>
  <c r="Q131" i="3" s="1"/>
  <c r="R131" i="3" s="1"/>
  <c r="S131" i="3" s="1"/>
  <c r="T131" i="3" s="1"/>
  <c r="U131" i="3" s="1"/>
  <c r="V131" i="3" s="1"/>
  <c r="W131" i="3" s="1"/>
  <c r="X131" i="3" s="1"/>
  <c r="Y131" i="3" s="1"/>
  <c r="Z131" i="3" s="1"/>
  <c r="AA131" i="3" s="1"/>
  <c r="AB131" i="3" s="1"/>
  <c r="AC131" i="3" s="1"/>
  <c r="AD131" i="3" s="1"/>
  <c r="F128" i="3"/>
  <c r="G128" i="3" s="1"/>
  <c r="H128" i="3" s="1"/>
  <c r="I128" i="3" s="1"/>
  <c r="J128" i="3" s="1"/>
  <c r="K128" i="3" s="1"/>
  <c r="L128" i="3" s="1"/>
  <c r="M128" i="3" s="1"/>
  <c r="N128" i="3" s="1"/>
  <c r="O128" i="3" s="1"/>
  <c r="P128" i="3" s="1"/>
  <c r="Q128" i="3" s="1"/>
  <c r="R128" i="3" s="1"/>
  <c r="S128" i="3" s="1"/>
  <c r="T128" i="3" s="1"/>
  <c r="U128" i="3" s="1"/>
  <c r="V128" i="3" s="1"/>
  <c r="W128" i="3" s="1"/>
  <c r="X128" i="3" s="1"/>
  <c r="Y128" i="3" s="1"/>
  <c r="Z128" i="3" s="1"/>
  <c r="AA128" i="3" s="1"/>
  <c r="AB128" i="3" s="1"/>
  <c r="AC128" i="3" s="1"/>
  <c r="AD128" i="3" s="1"/>
  <c r="F125" i="3"/>
  <c r="G125" i="3" s="1"/>
  <c r="H125" i="3" s="1"/>
  <c r="I125" i="3" s="1"/>
  <c r="J125" i="3" s="1"/>
  <c r="K125" i="3" s="1"/>
  <c r="L125" i="3" s="1"/>
  <c r="M125" i="3" s="1"/>
  <c r="N125" i="3" s="1"/>
  <c r="O125" i="3" s="1"/>
  <c r="P125" i="3" s="1"/>
  <c r="Q125" i="3" s="1"/>
  <c r="R125" i="3" s="1"/>
  <c r="S125" i="3" s="1"/>
  <c r="T125" i="3" s="1"/>
  <c r="U125" i="3" s="1"/>
  <c r="V125" i="3" s="1"/>
  <c r="W125" i="3" s="1"/>
  <c r="X125" i="3" s="1"/>
  <c r="Y125" i="3" s="1"/>
  <c r="Z125" i="3" s="1"/>
  <c r="AA125" i="3" s="1"/>
  <c r="AB125" i="3" s="1"/>
  <c r="AC125" i="3" s="1"/>
  <c r="AD125" i="3" s="1"/>
  <c r="F122" i="3"/>
  <c r="G122" i="3" s="1"/>
  <c r="H122" i="3" s="1"/>
  <c r="I122" i="3" s="1"/>
  <c r="J122" i="3" s="1"/>
  <c r="K122" i="3" s="1"/>
  <c r="L122" i="3" s="1"/>
  <c r="M122" i="3" s="1"/>
  <c r="N122" i="3" s="1"/>
  <c r="O122" i="3" s="1"/>
  <c r="P122" i="3" s="1"/>
  <c r="Q122" i="3" s="1"/>
  <c r="R122" i="3" s="1"/>
  <c r="S122" i="3" s="1"/>
  <c r="T122" i="3" s="1"/>
  <c r="U122" i="3" s="1"/>
  <c r="V122" i="3" s="1"/>
  <c r="W122" i="3" s="1"/>
  <c r="X122" i="3" s="1"/>
  <c r="Y122" i="3" s="1"/>
  <c r="Z122" i="3" s="1"/>
  <c r="AA122" i="3" s="1"/>
  <c r="AB122" i="3" s="1"/>
  <c r="AC122" i="3" s="1"/>
  <c r="AD122" i="3" s="1"/>
  <c r="F119" i="3"/>
  <c r="G119" i="3" s="1"/>
  <c r="H119" i="3" s="1"/>
  <c r="I119" i="3" s="1"/>
  <c r="J119" i="3" s="1"/>
  <c r="K119" i="3" s="1"/>
  <c r="L119" i="3" s="1"/>
  <c r="M119" i="3" s="1"/>
  <c r="N119" i="3" s="1"/>
  <c r="O119" i="3" s="1"/>
  <c r="P119" i="3" s="1"/>
  <c r="Q119" i="3" s="1"/>
  <c r="R119" i="3" s="1"/>
  <c r="S119" i="3" s="1"/>
  <c r="T119" i="3" s="1"/>
  <c r="U119" i="3" s="1"/>
  <c r="V119" i="3" s="1"/>
  <c r="W119" i="3" s="1"/>
  <c r="X119" i="3" s="1"/>
  <c r="Y119" i="3" s="1"/>
  <c r="Z119" i="3" s="1"/>
  <c r="AA119" i="3" s="1"/>
  <c r="AB119" i="3" s="1"/>
  <c r="AC119" i="3" s="1"/>
  <c r="AD119" i="3" s="1"/>
  <c r="F116" i="3"/>
  <c r="G116" i="3" s="1"/>
  <c r="H116" i="3" s="1"/>
  <c r="I116" i="3" s="1"/>
  <c r="J116" i="3" s="1"/>
  <c r="K116" i="3" s="1"/>
  <c r="L116" i="3" s="1"/>
  <c r="M116" i="3" s="1"/>
  <c r="N116" i="3" s="1"/>
  <c r="O116" i="3" s="1"/>
  <c r="P116" i="3" s="1"/>
  <c r="Q116" i="3" s="1"/>
  <c r="R116" i="3" s="1"/>
  <c r="S116" i="3" s="1"/>
  <c r="T116" i="3" s="1"/>
  <c r="U116" i="3" s="1"/>
  <c r="V116" i="3" s="1"/>
  <c r="W116" i="3" s="1"/>
  <c r="X116" i="3" s="1"/>
  <c r="Y116" i="3" s="1"/>
  <c r="Z116" i="3" s="1"/>
  <c r="AA116" i="3" s="1"/>
  <c r="AB116" i="3" s="1"/>
  <c r="AC116" i="3" s="1"/>
  <c r="AD116" i="3" s="1"/>
  <c r="F113" i="3"/>
  <c r="G113" i="3" s="1"/>
  <c r="H113" i="3" s="1"/>
  <c r="I113" i="3" s="1"/>
  <c r="J113" i="3" s="1"/>
  <c r="K113" i="3" s="1"/>
  <c r="L113" i="3" s="1"/>
  <c r="M113" i="3" s="1"/>
  <c r="N113" i="3" s="1"/>
  <c r="O113" i="3" s="1"/>
  <c r="P113" i="3" s="1"/>
  <c r="Q113" i="3" s="1"/>
  <c r="R113" i="3" s="1"/>
  <c r="S113" i="3" s="1"/>
  <c r="T113" i="3" s="1"/>
  <c r="U113" i="3" s="1"/>
  <c r="V113" i="3" s="1"/>
  <c r="W113" i="3" s="1"/>
  <c r="X113" i="3" s="1"/>
  <c r="Y113" i="3" s="1"/>
  <c r="Z113" i="3" s="1"/>
  <c r="AA113" i="3" s="1"/>
  <c r="AB113" i="3" s="1"/>
  <c r="AC113" i="3" s="1"/>
  <c r="AD113" i="3" s="1"/>
  <c r="F110" i="3"/>
  <c r="G110" i="3" s="1"/>
  <c r="H110" i="3" s="1"/>
  <c r="I110" i="3" s="1"/>
  <c r="J110" i="3" s="1"/>
  <c r="K110" i="3" s="1"/>
  <c r="L110" i="3" s="1"/>
  <c r="M110" i="3" s="1"/>
  <c r="N110" i="3" s="1"/>
  <c r="O110" i="3" s="1"/>
  <c r="P110" i="3" s="1"/>
  <c r="Q110" i="3" s="1"/>
  <c r="R110" i="3" s="1"/>
  <c r="S110" i="3" s="1"/>
  <c r="T110" i="3" s="1"/>
  <c r="U110" i="3" s="1"/>
  <c r="V110" i="3" s="1"/>
  <c r="W110" i="3" s="1"/>
  <c r="X110" i="3" s="1"/>
  <c r="Y110" i="3" s="1"/>
  <c r="Z110" i="3" s="1"/>
  <c r="AA110" i="3" s="1"/>
  <c r="AB110" i="3" s="1"/>
  <c r="AC110" i="3" s="1"/>
  <c r="AD110" i="3" s="1"/>
  <c r="F107" i="3"/>
  <c r="G107" i="3" s="1"/>
  <c r="H107" i="3" s="1"/>
  <c r="I107" i="3" s="1"/>
  <c r="J107" i="3" s="1"/>
  <c r="K107" i="3" s="1"/>
  <c r="L107" i="3" s="1"/>
  <c r="M107" i="3" s="1"/>
  <c r="N107" i="3" s="1"/>
  <c r="O107" i="3" s="1"/>
  <c r="P107" i="3" s="1"/>
  <c r="Q107" i="3" s="1"/>
  <c r="R107" i="3" s="1"/>
  <c r="S107" i="3" s="1"/>
  <c r="T107" i="3" s="1"/>
  <c r="U107" i="3" s="1"/>
  <c r="V107" i="3" s="1"/>
  <c r="W107" i="3" s="1"/>
  <c r="X107" i="3" s="1"/>
  <c r="Y107" i="3" s="1"/>
  <c r="Z107" i="3" s="1"/>
  <c r="AA107" i="3" s="1"/>
  <c r="AB107" i="3" s="1"/>
  <c r="AC107" i="3" s="1"/>
  <c r="AD107" i="3" s="1"/>
  <c r="F104" i="3"/>
  <c r="G104" i="3" s="1"/>
  <c r="H104" i="3" s="1"/>
  <c r="I104" i="3" s="1"/>
  <c r="J104" i="3" s="1"/>
  <c r="K104" i="3" s="1"/>
  <c r="L104" i="3" s="1"/>
  <c r="M104" i="3" s="1"/>
  <c r="N104" i="3" s="1"/>
  <c r="O104" i="3" s="1"/>
  <c r="P104" i="3" s="1"/>
  <c r="Q104" i="3" s="1"/>
  <c r="R104" i="3" s="1"/>
  <c r="S104" i="3" s="1"/>
  <c r="T104" i="3" s="1"/>
  <c r="U104" i="3" s="1"/>
  <c r="V104" i="3" s="1"/>
  <c r="W104" i="3" s="1"/>
  <c r="X104" i="3" s="1"/>
  <c r="Y104" i="3" s="1"/>
  <c r="Z104" i="3" s="1"/>
  <c r="AA104" i="3" s="1"/>
  <c r="AB104" i="3" s="1"/>
  <c r="AC104" i="3" s="1"/>
  <c r="AD104" i="3" s="1"/>
  <c r="F101" i="3"/>
  <c r="G101" i="3" s="1"/>
  <c r="H101" i="3" s="1"/>
  <c r="I101" i="3" s="1"/>
  <c r="J101" i="3" s="1"/>
  <c r="K101" i="3" s="1"/>
  <c r="L101" i="3" s="1"/>
  <c r="M101" i="3" s="1"/>
  <c r="N101" i="3" s="1"/>
  <c r="O101" i="3" s="1"/>
  <c r="P101" i="3" s="1"/>
  <c r="Q101" i="3" s="1"/>
  <c r="R101" i="3" s="1"/>
  <c r="S101" i="3" s="1"/>
  <c r="T101" i="3" s="1"/>
  <c r="U101" i="3" s="1"/>
  <c r="V101" i="3" s="1"/>
  <c r="W101" i="3" s="1"/>
  <c r="X101" i="3" s="1"/>
  <c r="Y101" i="3" s="1"/>
  <c r="Z101" i="3" s="1"/>
  <c r="AA101" i="3" s="1"/>
  <c r="AB101" i="3" s="1"/>
  <c r="AC101" i="3" s="1"/>
  <c r="AD101" i="3" s="1"/>
  <c r="F98" i="3"/>
  <c r="G98" i="3" s="1"/>
  <c r="H98" i="3" s="1"/>
  <c r="I98" i="3" s="1"/>
  <c r="J98" i="3" s="1"/>
  <c r="K98" i="3" s="1"/>
  <c r="L98" i="3" s="1"/>
  <c r="M98" i="3" s="1"/>
  <c r="N98" i="3" s="1"/>
  <c r="O98" i="3" s="1"/>
  <c r="P98" i="3" s="1"/>
  <c r="Q98" i="3" s="1"/>
  <c r="R98" i="3" s="1"/>
  <c r="S98" i="3" s="1"/>
  <c r="T98" i="3" s="1"/>
  <c r="U98" i="3" s="1"/>
  <c r="V98" i="3" s="1"/>
  <c r="W98" i="3" s="1"/>
  <c r="X98" i="3" s="1"/>
  <c r="Y98" i="3" s="1"/>
  <c r="Z98" i="3" s="1"/>
  <c r="AA98" i="3" s="1"/>
  <c r="AB98" i="3" s="1"/>
  <c r="AC98" i="3" s="1"/>
  <c r="AD98" i="3" s="1"/>
  <c r="F89" i="3"/>
  <c r="G89" i="3" s="1"/>
  <c r="H89" i="3" s="1"/>
  <c r="I89" i="3" s="1"/>
  <c r="J89" i="3" s="1"/>
  <c r="K89" i="3" s="1"/>
  <c r="L89" i="3" s="1"/>
  <c r="M89" i="3" s="1"/>
  <c r="N89" i="3" s="1"/>
  <c r="O89" i="3" s="1"/>
  <c r="P89" i="3" s="1"/>
  <c r="Q89" i="3" s="1"/>
  <c r="R89" i="3" s="1"/>
  <c r="S89" i="3" s="1"/>
  <c r="T89" i="3" s="1"/>
  <c r="U89" i="3" s="1"/>
  <c r="V89" i="3" s="1"/>
  <c r="W89" i="3" s="1"/>
  <c r="X89" i="3" s="1"/>
  <c r="Y89" i="3" s="1"/>
  <c r="Z89" i="3" s="1"/>
  <c r="AA89" i="3" s="1"/>
  <c r="AB89" i="3" s="1"/>
  <c r="AC89" i="3" s="1"/>
  <c r="AD89" i="3" s="1"/>
  <c r="F83" i="3"/>
  <c r="G83" i="3" s="1"/>
  <c r="H83" i="3" s="1"/>
  <c r="I83" i="3" s="1"/>
  <c r="J83" i="3" s="1"/>
  <c r="K83" i="3" s="1"/>
  <c r="L83" i="3" s="1"/>
  <c r="M83" i="3" s="1"/>
  <c r="N83" i="3" s="1"/>
  <c r="O83" i="3" s="1"/>
  <c r="P83" i="3" s="1"/>
  <c r="Q83" i="3" s="1"/>
  <c r="R83" i="3" s="1"/>
  <c r="S83" i="3" s="1"/>
  <c r="T83" i="3" s="1"/>
  <c r="U83" i="3" s="1"/>
  <c r="V83" i="3" s="1"/>
  <c r="W83" i="3" s="1"/>
  <c r="X83" i="3" s="1"/>
  <c r="Y83" i="3" s="1"/>
  <c r="Z83" i="3" s="1"/>
  <c r="AA83" i="3" s="1"/>
  <c r="AB83" i="3" s="1"/>
  <c r="AC83" i="3" s="1"/>
  <c r="AD83" i="3" s="1"/>
  <c r="F80" i="3"/>
  <c r="G80" i="3" s="1"/>
  <c r="H80" i="3" s="1"/>
  <c r="I80" i="3" s="1"/>
  <c r="J80" i="3" s="1"/>
  <c r="K80" i="3" s="1"/>
  <c r="L80" i="3" s="1"/>
  <c r="M80" i="3" s="1"/>
  <c r="N80" i="3" s="1"/>
  <c r="O80" i="3" s="1"/>
  <c r="P80" i="3" s="1"/>
  <c r="Q80" i="3" s="1"/>
  <c r="R80" i="3" s="1"/>
  <c r="S80" i="3" s="1"/>
  <c r="T80" i="3" s="1"/>
  <c r="U80" i="3" s="1"/>
  <c r="V80" i="3" s="1"/>
  <c r="W80" i="3" s="1"/>
  <c r="X80" i="3" s="1"/>
  <c r="Y80" i="3" s="1"/>
  <c r="Z80" i="3" s="1"/>
  <c r="AA80" i="3" s="1"/>
  <c r="AB80" i="3" s="1"/>
  <c r="AC80" i="3" s="1"/>
  <c r="AD80" i="3" s="1"/>
  <c r="F77" i="3"/>
  <c r="G77" i="3" s="1"/>
  <c r="H77" i="3" s="1"/>
  <c r="I77" i="3" s="1"/>
  <c r="J77" i="3" s="1"/>
  <c r="K77" i="3" s="1"/>
  <c r="L77" i="3" s="1"/>
  <c r="M77" i="3" s="1"/>
  <c r="N77" i="3" s="1"/>
  <c r="O77" i="3" s="1"/>
  <c r="P77" i="3" s="1"/>
  <c r="Q77" i="3" s="1"/>
  <c r="R77" i="3" s="1"/>
  <c r="S77" i="3" s="1"/>
  <c r="T77" i="3" s="1"/>
  <c r="U77" i="3" s="1"/>
  <c r="V77" i="3" s="1"/>
  <c r="W77" i="3" s="1"/>
  <c r="X77" i="3" s="1"/>
  <c r="Y77" i="3" s="1"/>
  <c r="Z77" i="3" s="1"/>
  <c r="AA77" i="3" s="1"/>
  <c r="AB77" i="3" s="1"/>
  <c r="AC77" i="3" s="1"/>
  <c r="AD77" i="3" s="1"/>
  <c r="F73" i="3"/>
  <c r="G73" i="3" s="1"/>
  <c r="H73" i="3" s="1"/>
  <c r="I73" i="3" s="1"/>
  <c r="J73" i="3" s="1"/>
  <c r="K73" i="3" s="1"/>
  <c r="L73" i="3" s="1"/>
  <c r="M73" i="3" s="1"/>
  <c r="N73" i="3" s="1"/>
  <c r="O73" i="3" s="1"/>
  <c r="P73" i="3" s="1"/>
  <c r="Q73" i="3" s="1"/>
  <c r="R73" i="3" s="1"/>
  <c r="S73" i="3" s="1"/>
  <c r="T73" i="3" s="1"/>
  <c r="U73" i="3" s="1"/>
  <c r="V73" i="3" s="1"/>
  <c r="W73" i="3" s="1"/>
  <c r="X73" i="3" s="1"/>
  <c r="Y73" i="3" s="1"/>
  <c r="Z73" i="3" s="1"/>
  <c r="AA73" i="3" s="1"/>
  <c r="AB73" i="3" s="1"/>
  <c r="AC73" i="3" s="1"/>
  <c r="AD73" i="3" s="1"/>
  <c r="F70" i="3"/>
  <c r="G70" i="3" s="1"/>
  <c r="H70" i="3" s="1"/>
  <c r="I70" i="3" s="1"/>
  <c r="J70" i="3" s="1"/>
  <c r="K70" i="3" s="1"/>
  <c r="L70" i="3" s="1"/>
  <c r="M70" i="3" s="1"/>
  <c r="N70" i="3" s="1"/>
  <c r="O70" i="3" s="1"/>
  <c r="P70" i="3" s="1"/>
  <c r="Q70" i="3" s="1"/>
  <c r="R70" i="3" s="1"/>
  <c r="S70" i="3" s="1"/>
  <c r="T70" i="3" s="1"/>
  <c r="U70" i="3" s="1"/>
  <c r="V70" i="3" s="1"/>
  <c r="W70" i="3" s="1"/>
  <c r="X70" i="3" s="1"/>
  <c r="Y70" i="3" s="1"/>
  <c r="Z70" i="3" s="1"/>
  <c r="AA70" i="3" s="1"/>
  <c r="AB70" i="3" s="1"/>
  <c r="AC70" i="3" s="1"/>
  <c r="AD70" i="3" s="1"/>
  <c r="F67" i="3"/>
  <c r="G67" i="3" s="1"/>
  <c r="H67" i="3" s="1"/>
  <c r="I67" i="3" s="1"/>
  <c r="J67" i="3" s="1"/>
  <c r="K67" i="3" s="1"/>
  <c r="L67" i="3" s="1"/>
  <c r="M67" i="3" s="1"/>
  <c r="N67" i="3" s="1"/>
  <c r="O67" i="3" s="1"/>
  <c r="P67" i="3" s="1"/>
  <c r="Q67" i="3" s="1"/>
  <c r="R67" i="3" s="1"/>
  <c r="S67" i="3" s="1"/>
  <c r="T67" i="3" s="1"/>
  <c r="U67" i="3" s="1"/>
  <c r="V67" i="3" s="1"/>
  <c r="W67" i="3" s="1"/>
  <c r="X67" i="3" s="1"/>
  <c r="Y67" i="3" s="1"/>
  <c r="Z67" i="3" s="1"/>
  <c r="AA67" i="3" s="1"/>
  <c r="AB67" i="3" s="1"/>
  <c r="AC67" i="3" s="1"/>
  <c r="AD67" i="3" s="1"/>
  <c r="F63" i="3"/>
  <c r="G63" i="3" s="1"/>
  <c r="H63" i="3" s="1"/>
  <c r="I63" i="3" s="1"/>
  <c r="J63" i="3" s="1"/>
  <c r="K63" i="3" s="1"/>
  <c r="L63" i="3" s="1"/>
  <c r="M63" i="3" s="1"/>
  <c r="N63" i="3" s="1"/>
  <c r="O63" i="3" s="1"/>
  <c r="P63" i="3" s="1"/>
  <c r="Q63" i="3" s="1"/>
  <c r="R63" i="3" s="1"/>
  <c r="S63" i="3" s="1"/>
  <c r="T63" i="3" s="1"/>
  <c r="U63" i="3" s="1"/>
  <c r="V63" i="3" s="1"/>
  <c r="W63" i="3" s="1"/>
  <c r="X63" i="3" s="1"/>
  <c r="Y63" i="3" s="1"/>
  <c r="Z63" i="3" s="1"/>
  <c r="AA63" i="3" s="1"/>
  <c r="AB63" i="3" s="1"/>
  <c r="AC63" i="3" s="1"/>
  <c r="AD63" i="3" s="1"/>
  <c r="F60" i="3"/>
  <c r="G60" i="3" s="1"/>
  <c r="H60" i="3" s="1"/>
  <c r="I60" i="3" s="1"/>
  <c r="J60" i="3" s="1"/>
  <c r="K60" i="3" s="1"/>
  <c r="L60" i="3" s="1"/>
  <c r="M60" i="3" s="1"/>
  <c r="N60" i="3" s="1"/>
  <c r="O60" i="3" s="1"/>
  <c r="P60" i="3" s="1"/>
  <c r="Q60" i="3" s="1"/>
  <c r="R60" i="3" s="1"/>
  <c r="S60" i="3" s="1"/>
  <c r="T60" i="3" s="1"/>
  <c r="U60" i="3" s="1"/>
  <c r="V60" i="3" s="1"/>
  <c r="W60" i="3" s="1"/>
  <c r="X60" i="3" s="1"/>
  <c r="Y60" i="3" s="1"/>
  <c r="Z60" i="3" s="1"/>
  <c r="AA60" i="3" s="1"/>
  <c r="AB60" i="3" s="1"/>
  <c r="AC60" i="3" s="1"/>
  <c r="AD60" i="3" s="1"/>
  <c r="F57" i="3"/>
  <c r="G57" i="3" s="1"/>
  <c r="H57" i="3" s="1"/>
  <c r="I57" i="3" s="1"/>
  <c r="J57" i="3" s="1"/>
  <c r="K57" i="3" s="1"/>
  <c r="L57" i="3" s="1"/>
  <c r="M57" i="3" s="1"/>
  <c r="N57" i="3" s="1"/>
  <c r="O57" i="3" s="1"/>
  <c r="P57" i="3" s="1"/>
  <c r="Q57" i="3" s="1"/>
  <c r="R57" i="3" s="1"/>
  <c r="S57" i="3" s="1"/>
  <c r="T57" i="3" s="1"/>
  <c r="U57" i="3" s="1"/>
  <c r="V57" i="3" s="1"/>
  <c r="W57" i="3" s="1"/>
  <c r="X57" i="3" s="1"/>
  <c r="Y57" i="3" s="1"/>
  <c r="Z57" i="3" s="1"/>
  <c r="AA57" i="3" s="1"/>
  <c r="AB57" i="3" s="1"/>
  <c r="AC57" i="3" s="1"/>
  <c r="AD57" i="3" s="1"/>
  <c r="F54" i="3"/>
  <c r="G54" i="3" s="1"/>
  <c r="H54" i="3" s="1"/>
  <c r="I54" i="3" s="1"/>
  <c r="J54" i="3" s="1"/>
  <c r="K54" i="3" s="1"/>
  <c r="L54" i="3" s="1"/>
  <c r="M54" i="3" s="1"/>
  <c r="N54" i="3" s="1"/>
  <c r="O54" i="3" s="1"/>
  <c r="P54" i="3" s="1"/>
  <c r="Q54" i="3" s="1"/>
  <c r="R54" i="3" s="1"/>
  <c r="S54" i="3" s="1"/>
  <c r="T54" i="3" s="1"/>
  <c r="U54" i="3" s="1"/>
  <c r="V54" i="3" s="1"/>
  <c r="W54" i="3" s="1"/>
  <c r="X54" i="3" s="1"/>
  <c r="Y54" i="3" s="1"/>
  <c r="Z54" i="3" s="1"/>
  <c r="AA54" i="3" s="1"/>
  <c r="AB54" i="3" s="1"/>
  <c r="AC54" i="3" s="1"/>
  <c r="AD54" i="3" s="1"/>
  <c r="F46" i="3"/>
  <c r="G46" i="3" s="1"/>
  <c r="H46" i="3" s="1"/>
  <c r="I46" i="3" s="1"/>
  <c r="J46" i="3" s="1"/>
  <c r="K46" i="3" s="1"/>
  <c r="L46" i="3" s="1"/>
  <c r="M46" i="3" s="1"/>
  <c r="N46" i="3" s="1"/>
  <c r="O46" i="3" s="1"/>
  <c r="P46" i="3" s="1"/>
  <c r="Q46" i="3" s="1"/>
  <c r="R46" i="3" s="1"/>
  <c r="S46" i="3" s="1"/>
  <c r="T46" i="3" s="1"/>
  <c r="U46" i="3" s="1"/>
  <c r="V46" i="3" s="1"/>
  <c r="W46" i="3" s="1"/>
  <c r="X46" i="3" s="1"/>
  <c r="Y46" i="3" s="1"/>
  <c r="Z46" i="3" s="1"/>
  <c r="AA46" i="3" s="1"/>
  <c r="AB46" i="3" s="1"/>
  <c r="AC46" i="3" s="1"/>
  <c r="AD46" i="3" s="1"/>
  <c r="F43" i="3"/>
  <c r="G43" i="3" s="1"/>
  <c r="H43" i="3" s="1"/>
  <c r="I43" i="3" s="1"/>
  <c r="J43" i="3" s="1"/>
  <c r="K43" i="3" s="1"/>
  <c r="L43" i="3" s="1"/>
  <c r="M43" i="3" s="1"/>
  <c r="N43" i="3" s="1"/>
  <c r="O43" i="3" s="1"/>
  <c r="P43" i="3" s="1"/>
  <c r="Q43" i="3" s="1"/>
  <c r="R43" i="3" s="1"/>
  <c r="S43" i="3" s="1"/>
  <c r="T43" i="3" s="1"/>
  <c r="U43" i="3" s="1"/>
  <c r="V43" i="3" s="1"/>
  <c r="W43" i="3" s="1"/>
  <c r="X43" i="3" s="1"/>
  <c r="Y43" i="3" s="1"/>
  <c r="Z43" i="3" s="1"/>
  <c r="AA43" i="3" s="1"/>
  <c r="AB43" i="3" s="1"/>
  <c r="AC43" i="3" s="1"/>
  <c r="AD43" i="3" s="1"/>
  <c r="F40" i="3"/>
  <c r="G40" i="3" s="1"/>
  <c r="H40" i="3" s="1"/>
  <c r="I40" i="3" s="1"/>
  <c r="J40" i="3" s="1"/>
  <c r="K40" i="3" s="1"/>
  <c r="L40" i="3" s="1"/>
  <c r="M40" i="3" s="1"/>
  <c r="N40" i="3" s="1"/>
  <c r="O40" i="3" s="1"/>
  <c r="P40" i="3" s="1"/>
  <c r="Q40" i="3" s="1"/>
  <c r="R40" i="3" s="1"/>
  <c r="S40" i="3" s="1"/>
  <c r="T40" i="3" s="1"/>
  <c r="U40" i="3" s="1"/>
  <c r="V40" i="3" s="1"/>
  <c r="W40" i="3" s="1"/>
  <c r="X40" i="3" s="1"/>
  <c r="Y40" i="3" s="1"/>
  <c r="Z40" i="3" s="1"/>
  <c r="AA40" i="3" s="1"/>
  <c r="AB40" i="3" s="1"/>
  <c r="AC40" i="3" s="1"/>
  <c r="AD40" i="3" s="1"/>
  <c r="F37" i="3"/>
  <c r="G37" i="3" s="1"/>
  <c r="H37" i="3" s="1"/>
  <c r="I37" i="3" s="1"/>
  <c r="J37" i="3" s="1"/>
  <c r="K37" i="3" s="1"/>
  <c r="L37" i="3" s="1"/>
  <c r="M37" i="3" s="1"/>
  <c r="N37" i="3" s="1"/>
  <c r="O37" i="3" s="1"/>
  <c r="P37" i="3" s="1"/>
  <c r="Q37" i="3" s="1"/>
  <c r="R37" i="3" s="1"/>
  <c r="S37" i="3" s="1"/>
  <c r="T37" i="3" s="1"/>
  <c r="U37" i="3" s="1"/>
  <c r="V37" i="3" s="1"/>
  <c r="W37" i="3" s="1"/>
  <c r="X37" i="3" s="1"/>
  <c r="Y37" i="3" s="1"/>
  <c r="Z37" i="3" s="1"/>
  <c r="AA37" i="3" s="1"/>
  <c r="AB37" i="3" s="1"/>
  <c r="AC37" i="3" s="1"/>
  <c r="AD37" i="3" s="1"/>
  <c r="F34" i="3"/>
  <c r="G34" i="3" s="1"/>
  <c r="H34" i="3" s="1"/>
  <c r="I34" i="3" s="1"/>
  <c r="J34" i="3" s="1"/>
  <c r="K34" i="3" s="1"/>
  <c r="L34" i="3" s="1"/>
  <c r="M34" i="3" s="1"/>
  <c r="N34" i="3" s="1"/>
  <c r="O34" i="3" s="1"/>
  <c r="P34" i="3" s="1"/>
  <c r="Q34" i="3" s="1"/>
  <c r="R34" i="3" s="1"/>
  <c r="S34" i="3" s="1"/>
  <c r="T34" i="3" s="1"/>
  <c r="U34" i="3" s="1"/>
  <c r="V34" i="3" s="1"/>
  <c r="W34" i="3" s="1"/>
  <c r="X34" i="3" s="1"/>
  <c r="Y34" i="3" s="1"/>
  <c r="Z34" i="3" s="1"/>
  <c r="AA34" i="3" s="1"/>
  <c r="AB34" i="3" s="1"/>
  <c r="AC34" i="3" s="1"/>
  <c r="AD34" i="3" s="1"/>
  <c r="F31" i="3"/>
  <c r="G31" i="3" s="1"/>
  <c r="H31" i="3" s="1"/>
  <c r="I31" i="3" s="1"/>
  <c r="J31" i="3" s="1"/>
  <c r="K31" i="3" s="1"/>
  <c r="L31" i="3" s="1"/>
  <c r="M31" i="3" s="1"/>
  <c r="N31" i="3" s="1"/>
  <c r="O31" i="3" s="1"/>
  <c r="P31" i="3" s="1"/>
  <c r="Q31" i="3" s="1"/>
  <c r="R31" i="3" s="1"/>
  <c r="S31" i="3" s="1"/>
  <c r="T31" i="3" s="1"/>
  <c r="U31" i="3" s="1"/>
  <c r="V31" i="3" s="1"/>
  <c r="W31" i="3" s="1"/>
  <c r="X31" i="3" s="1"/>
  <c r="Y31" i="3" s="1"/>
  <c r="Z31" i="3" s="1"/>
  <c r="AA31" i="3" s="1"/>
  <c r="AB31" i="3" s="1"/>
  <c r="AC31" i="3" s="1"/>
  <c r="AD31" i="3" s="1"/>
  <c r="F28" i="3"/>
  <c r="G28" i="3" s="1"/>
  <c r="H28" i="3" s="1"/>
  <c r="I28" i="3" s="1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T28" i="3" s="1"/>
  <c r="U28" i="3" s="1"/>
  <c r="V28" i="3" s="1"/>
  <c r="W28" i="3" s="1"/>
  <c r="X28" i="3" s="1"/>
  <c r="Y28" i="3" s="1"/>
  <c r="Z28" i="3" s="1"/>
  <c r="AA28" i="3" s="1"/>
  <c r="AB28" i="3" s="1"/>
  <c r="AC28" i="3" s="1"/>
  <c r="AD28" i="3" s="1"/>
  <c r="F25" i="3"/>
  <c r="G25" i="3" s="1"/>
  <c r="H25" i="3" s="1"/>
  <c r="I25" i="3" s="1"/>
  <c r="J25" i="3" s="1"/>
  <c r="K25" i="3" s="1"/>
  <c r="L25" i="3" s="1"/>
  <c r="M25" i="3" s="1"/>
  <c r="N25" i="3" s="1"/>
  <c r="O25" i="3" s="1"/>
  <c r="P25" i="3" s="1"/>
  <c r="Q25" i="3" s="1"/>
  <c r="R25" i="3" s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AD25" i="3" s="1"/>
  <c r="F22" i="3"/>
  <c r="G22" i="3" s="1"/>
  <c r="H22" i="3" s="1"/>
  <c r="I22" i="3" s="1"/>
  <c r="J22" i="3" s="1"/>
  <c r="K22" i="3" s="1"/>
  <c r="L22" i="3" s="1"/>
  <c r="M22" i="3" s="1"/>
  <c r="N22" i="3" s="1"/>
  <c r="O22" i="3" s="1"/>
  <c r="P22" i="3" s="1"/>
  <c r="Q22" i="3" s="1"/>
  <c r="R22" i="3" s="1"/>
  <c r="S22" i="3" s="1"/>
  <c r="T22" i="3" s="1"/>
  <c r="U22" i="3" s="1"/>
  <c r="V22" i="3" s="1"/>
  <c r="W22" i="3" s="1"/>
  <c r="X22" i="3" s="1"/>
  <c r="Y22" i="3" s="1"/>
  <c r="Z22" i="3" s="1"/>
  <c r="AA22" i="3" s="1"/>
  <c r="AB22" i="3" s="1"/>
  <c r="AC22" i="3" s="1"/>
  <c r="AD22" i="3" s="1"/>
  <c r="F19" i="3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T19" i="3" s="1"/>
  <c r="U19" i="3" s="1"/>
  <c r="V19" i="3" s="1"/>
  <c r="W19" i="3" s="1"/>
  <c r="X19" i="3" s="1"/>
  <c r="Y19" i="3" s="1"/>
  <c r="Z19" i="3" s="1"/>
  <c r="AA19" i="3" s="1"/>
  <c r="AB19" i="3" s="1"/>
  <c r="AC19" i="3" s="1"/>
  <c r="AD19" i="3" s="1"/>
  <c r="F16" i="3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F13" i="3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AB13" i="3" s="1"/>
  <c r="AC13" i="3" s="1"/>
  <c r="AD13" i="3" s="1"/>
  <c r="F10" i="3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F7" i="3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AA7" i="3" s="1"/>
  <c r="AB7" i="3" s="1"/>
  <c r="AC7" i="3" s="1"/>
  <c r="AD7" i="3" s="1"/>
  <c r="F4" i="3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R4" i="3" s="1"/>
  <c r="S4" i="3" s="1"/>
  <c r="T4" i="3" s="1"/>
  <c r="U4" i="3" s="1"/>
  <c r="V4" i="3" s="1"/>
  <c r="W4" i="3" s="1"/>
  <c r="X4" i="3" s="1"/>
  <c r="Y4" i="3" s="1"/>
  <c r="Z4" i="3" s="1"/>
  <c r="AA4" i="3" s="1"/>
  <c r="AB4" i="3" s="1"/>
  <c r="AC4" i="3" s="1"/>
  <c r="AD4" i="3" s="1"/>
  <c r="F86" i="3"/>
  <c r="G86" i="3" s="1"/>
  <c r="H86" i="3" s="1"/>
  <c r="I86" i="3" s="1"/>
  <c r="J86" i="3" s="1"/>
  <c r="K86" i="3" s="1"/>
  <c r="L86" i="3" s="1"/>
  <c r="M86" i="3" s="1"/>
  <c r="N86" i="3" s="1"/>
  <c r="O86" i="3" s="1"/>
  <c r="P86" i="3" s="1"/>
  <c r="Q86" i="3" s="1"/>
  <c r="R86" i="3" s="1"/>
  <c r="S86" i="3" s="1"/>
  <c r="T86" i="3" s="1"/>
  <c r="U86" i="3" s="1"/>
  <c r="V86" i="3" s="1"/>
  <c r="W86" i="3" s="1"/>
  <c r="X86" i="3" s="1"/>
  <c r="Y86" i="3" s="1"/>
  <c r="Z86" i="3" s="1"/>
  <c r="AA86" i="3" s="1"/>
  <c r="AB86" i="3" s="1"/>
  <c r="AC86" i="3" s="1"/>
  <c r="AD86" i="3" s="1"/>
  <c r="L95" i="3" l="1"/>
  <c r="M95" i="3" s="1"/>
  <c r="N95" i="3" s="1"/>
  <c r="O95" i="3" s="1"/>
  <c r="P95" i="3" s="1"/>
  <c r="Q95" i="3" s="1"/>
  <c r="R95" i="3" s="1"/>
  <c r="S95" i="3" s="1"/>
  <c r="T95" i="3" s="1"/>
  <c r="U95" i="3" s="1"/>
  <c r="V95" i="3" s="1"/>
  <c r="W95" i="3" s="1"/>
  <c r="X95" i="3" s="1"/>
  <c r="Y95" i="3" s="1"/>
  <c r="Z95" i="3" s="1"/>
  <c r="AA95" i="3" s="1"/>
  <c r="AB95" i="3" s="1"/>
  <c r="AC95" i="3" s="1"/>
  <c r="AD95" i="3" s="1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F165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G166" i="3"/>
  <c r="F166" i="3"/>
  <c r="D48" i="3" l="1"/>
  <c r="G167" i="3" l="1"/>
  <c r="B162" i="3" l="1"/>
  <c r="G168" i="3" l="1"/>
  <c r="D163" i="3" l="1"/>
  <c r="D47" i="3" l="1"/>
  <c r="D162" i="3" l="1"/>
  <c r="H167" i="3"/>
  <c r="F51" i="3" l="1"/>
  <c r="G51" i="3" s="1"/>
  <c r="F49" i="3"/>
  <c r="G49" i="3" l="1"/>
  <c r="H49" i="3" s="1"/>
  <c r="I49" i="3" s="1"/>
  <c r="J49" i="3" s="1"/>
  <c r="K49" i="3" s="1"/>
  <c r="L49" i="3" s="1"/>
  <c r="M49" i="3" s="1"/>
  <c r="N49" i="3" s="1"/>
  <c r="C162" i="3" l="1"/>
  <c r="H51" i="3" l="1"/>
  <c r="I51" i="3" s="1"/>
  <c r="J51" i="3" s="1"/>
  <c r="K51" i="3" s="1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O49" i="3"/>
  <c r="P49" i="3" s="1"/>
  <c r="Q49" i="3" s="1"/>
  <c r="R49" i="3" s="1"/>
  <c r="S49" i="3" s="1"/>
  <c r="T49" i="3" s="1"/>
  <c r="U49" i="3" s="1"/>
  <c r="V49" i="3" s="1"/>
  <c r="W49" i="3" s="1"/>
  <c r="X49" i="3" s="1"/>
  <c r="Y49" i="3" s="1"/>
  <c r="Z49" i="3" s="1"/>
  <c r="AA51" i="3" l="1"/>
  <c r="AB51" i="3" s="1"/>
  <c r="AC51" i="3" s="1"/>
  <c r="AD51" i="3" s="1"/>
  <c r="AA49" i="3"/>
  <c r="AB49" i="3" s="1"/>
  <c r="AC49" i="3" s="1"/>
  <c r="AD49" i="3" s="1"/>
  <c r="H168" i="3" l="1"/>
  <c r="I167" i="3" s="1"/>
  <c r="I168" i="3" l="1"/>
  <c r="J167" i="3" s="1"/>
  <c r="J168" i="3" l="1"/>
  <c r="K167" i="3" s="1"/>
  <c r="K168" i="3" l="1"/>
  <c r="L167" i="3" s="1"/>
  <c r="L168" i="3" l="1"/>
  <c r="M167" i="3" s="1"/>
  <c r="M168" i="3" l="1"/>
  <c r="N167" i="3" l="1"/>
  <c r="N168" i="3" s="1"/>
  <c r="O167" i="3" s="1"/>
  <c r="O168" i="3" s="1"/>
  <c r="P167" i="3" s="1"/>
  <c r="P168" i="3" l="1"/>
  <c r="Q167" i="3" s="1"/>
  <c r="Q168" i="3" l="1"/>
  <c r="R167" i="3" s="1"/>
  <c r="R168" i="3" l="1"/>
  <c r="S167" i="3" s="1"/>
  <c r="S168" i="3" l="1"/>
  <c r="T167" i="3" s="1"/>
  <c r="T168" i="3" l="1"/>
  <c r="U167" i="3" s="1"/>
  <c r="U168" i="3" l="1"/>
  <c r="V167" i="3" s="1"/>
  <c r="V168" i="3" l="1"/>
  <c r="W167" i="3" s="1"/>
  <c r="W168" i="3" l="1"/>
  <c r="X167" i="3" s="1"/>
  <c r="X168" i="3" l="1"/>
  <c r="Y167" i="3" s="1"/>
  <c r="Y168" i="3" l="1"/>
  <c r="Z167" i="3" s="1"/>
  <c r="Z168" i="3" l="1"/>
  <c r="AA167" i="3" s="1"/>
  <c r="AA168" i="3" l="1"/>
  <c r="AB167" i="3" l="1"/>
  <c r="AB168" i="3" s="1"/>
  <c r="AC167" i="3" s="1"/>
  <c r="AC168" i="3" s="1"/>
  <c r="AD167" i="3" s="1"/>
  <c r="AD168" i="3" s="1"/>
</calcChain>
</file>

<file path=xl/sharedStrings.xml><?xml version="1.0" encoding="utf-8"?>
<sst xmlns="http://schemas.openxmlformats.org/spreadsheetml/2006/main" count="226" uniqueCount="72">
  <si>
    <t>Основа</t>
  </si>
  <si>
    <t>Остаток ПФ</t>
  </si>
  <si>
    <t>15кл. Серые Нейлоновые</t>
  </si>
  <si>
    <t>15кл. Зеленые Нейлоновые</t>
  </si>
  <si>
    <t>7,5 класс, 3н легкие белые</t>
  </si>
  <si>
    <t>7,5 класс, 3н легкие черные</t>
  </si>
  <si>
    <t>10 класс, 3н легкие белые</t>
  </si>
  <si>
    <t>7,5 класс, 4н средние белые</t>
  </si>
  <si>
    <t>10 класс, 4н средние белые</t>
  </si>
  <si>
    <t>10 класс, 4н средние черные</t>
  </si>
  <si>
    <t>7,5 класс, 5н стандарт белые</t>
  </si>
  <si>
    <t>7,5 класс, 5н стандарт серые</t>
  </si>
  <si>
    <t>7,5 класс, 5н стандарт черные</t>
  </si>
  <si>
    <t>10 класс, 5н стандарт белые</t>
  </si>
  <si>
    <t>10 класс, 5н стандарт серые</t>
  </si>
  <si>
    <t>10 класс, 5н стандарт черные</t>
  </si>
  <si>
    <t>7,5 класс, 5н комфорт белые</t>
  </si>
  <si>
    <t>7,5 класс, 5н комфорт серые</t>
  </si>
  <si>
    <t>7,5 класс, 5н комфорт черные</t>
  </si>
  <si>
    <t>7,5 класс, 5н люкс белые L</t>
  </si>
  <si>
    <t>7,5 класс, 5н люкс серые L</t>
  </si>
  <si>
    <t>7,5 класс, 5н люкс черные L</t>
  </si>
  <si>
    <t>7,5 класс, 5н люкс белые XL</t>
  </si>
  <si>
    <t>7,5 класс, 5н люкс серые XL</t>
  </si>
  <si>
    <t>7,5 класс, 5н люкс черные XL</t>
  </si>
  <si>
    <t>7,5 класс, 6н плотные белые</t>
  </si>
  <si>
    <t>7,5 класс, 6н плотные серые</t>
  </si>
  <si>
    <t>7,5 класс, 6н плотные черные</t>
  </si>
  <si>
    <t>10 класс, 6н плотные белые L</t>
  </si>
  <si>
    <t>10 класс, 6н плотные черные L</t>
  </si>
  <si>
    <t>10 класс, 6н плотные белые М</t>
  </si>
  <si>
    <t>7,5 класс, 6н 2-слойные красные</t>
  </si>
  <si>
    <t>7,5 класс, 6н 2-слойные олива</t>
  </si>
  <si>
    <t>7,5 класс, 6н 2-слойные синие</t>
  </si>
  <si>
    <t>10 класс, 6н 2-слойные красные</t>
  </si>
  <si>
    <t>10 класс, 6н 2-слойные олива</t>
  </si>
  <si>
    <t>10 класс, 6н 2-слойные синие</t>
  </si>
  <si>
    <t>10 класс, 6н плотные белые ХL</t>
  </si>
  <si>
    <t>10 класс, 6н плотные черные ХL</t>
  </si>
  <si>
    <t>7,5 класс, 5н люкс белые XL зел.доп манжет</t>
  </si>
  <si>
    <t>10 класс, 6н плотные красные XS</t>
  </si>
  <si>
    <t>10 класс, 6н 2-слойные оранж</t>
  </si>
  <si>
    <t>15кл. Черные Нейлоновые</t>
  </si>
  <si>
    <t>7,5 класс, 6н 2-слойные оранж</t>
  </si>
  <si>
    <t>10 класс, 6н плотные красные L</t>
  </si>
  <si>
    <t>10 класс, 6н плотные оранжевые L</t>
  </si>
  <si>
    <t>10 класс, 6н плотные синие L</t>
  </si>
  <si>
    <t>7,5 класс, 3н легкие серые XS</t>
  </si>
  <si>
    <t>Выр-ка</t>
  </si>
  <si>
    <r>
      <t xml:space="preserve">7,5 класс, 5н серые </t>
    </r>
    <r>
      <rPr>
        <b/>
        <u/>
        <sz val="10"/>
        <rFont val="Arial"/>
        <family val="2"/>
        <charset val="204"/>
      </rPr>
      <t>П/Ш</t>
    </r>
  </si>
  <si>
    <t>7,5 класс, 4н ЭКОНОМ белые</t>
  </si>
  <si>
    <t>остаток</t>
  </si>
  <si>
    <t>пвх</t>
  </si>
  <si>
    <t>без пвх</t>
  </si>
  <si>
    <t>Заявки</t>
  </si>
  <si>
    <t>10 класс, 5н двойные зелёные</t>
  </si>
  <si>
    <t>бпвх</t>
  </si>
  <si>
    <t>Заявки с ПВХ</t>
  </si>
  <si>
    <t>План ПВХ</t>
  </si>
  <si>
    <t>Заявки без ПВХ</t>
  </si>
  <si>
    <t>Баланс ПВХ</t>
  </si>
  <si>
    <t>7,5 класс, 6н 2-слойные Арселон</t>
  </si>
  <si>
    <t>7,5 класс, 5н двойные серые</t>
  </si>
  <si>
    <t>7,5 класс, 5н двойные черные</t>
  </si>
  <si>
    <t>10 класс, 4н средние серые,  м</t>
  </si>
  <si>
    <t>Кладовая ПВХ</t>
  </si>
  <si>
    <t>Кладовая оверлок</t>
  </si>
  <si>
    <t>e1c://server/serv1c/KA_2021#e1cib/data/Справочник.ВариантыОтчетов?ref=abe1f02f74cb38eb11ebee114c923a7e</t>
  </si>
  <si>
    <t>e1c://server/serv1c/KA_2021#e1cib/data/Справочник.ВариантыОтчетов?ref=abe0f02f74cb38eb11ebdf08f52edad6</t>
  </si>
  <si>
    <t>Остатки-заказы, там где по дням есть заказанное</t>
  </si>
  <si>
    <t>1070 без оверлока</t>
  </si>
  <si>
    <t>2623 оверлок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</si>
</sst>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;[Red]\-0\ "/>
    <numFmt numFmtId="165" formatCode="#,##0_ ;[Red]\-#,##0\ "/>
  </numFmts>
  <fonts count="13" x14ac:knownFonts="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</font>
    <font>
      <sz val="20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  <charset val="204"/>
    </font>
    <font>
      <b/>
      <u/>
      <sz val="10"/>
      <name val="Arial"/>
      <family val="2"/>
      <charset val="204"/>
    </font>
    <font>
      <b/>
      <sz val="14"/>
      <color theme="2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4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86">
    <xf numFmtId="0" fontId="0" fillId="0" borderId="0" xfId="0"/>
    <xf numFmtId="16" fontId="0" fillId="0" borderId="1" xfId="0" applyNumberFormat="1" applyBorder="1" applyAlignment="1">
      <alignment horizontal="center" vertical="center"/>
    </xf>
    <xf numFmtId="164" fontId="0" fillId="0" borderId="4" xfId="0" applyNumberFormat="1" applyBorder="1"/>
    <xf numFmtId="164" fontId="0" fillId="0" borderId="7" xfId="0" applyNumberFormat="1" applyBorder="1"/>
    <xf numFmtId="164" fontId="1" fillId="0" borderId="7" xfId="0" applyNumberFormat="1" applyFont="1" applyBorder="1"/>
    <xf numFmtId="164" fontId="0" fillId="0" borderId="18" xfId="0" applyNumberFormat="1" applyBorder="1"/>
    <xf numFmtId="0" fontId="0" fillId="2" borderId="0" xfId="0" applyFill="1"/>
    <xf numFmtId="0" fontId="0" fillId="2" borderId="6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3" borderId="0" xfId="0" applyFill="1"/>
    <xf numFmtId="0" fontId="3" fillId="0" borderId="1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64" fontId="0" fillId="0" borderId="25" xfId="0" applyNumberFormat="1" applyBorder="1"/>
    <xf numFmtId="164" fontId="0" fillId="0" borderId="13" xfId="0" applyNumberFormat="1" applyBorder="1"/>
    <xf numFmtId="0" fontId="0" fillId="2" borderId="6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4" fontId="0" fillId="0" borderId="27" xfId="0" applyNumberFormat="1" applyBorder="1"/>
    <xf numFmtId="0" fontId="1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64" fontId="0" fillId="0" borderId="32" xfId="0" applyNumberFormat="1" applyBorder="1"/>
    <xf numFmtId="0" fontId="4" fillId="3" borderId="21" xfId="0" applyFont="1" applyFill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0" fillId="0" borderId="48" xfId="0" applyBorder="1"/>
    <xf numFmtId="0" fontId="0" fillId="0" borderId="49" xfId="0" applyBorder="1"/>
    <xf numFmtId="164" fontId="0" fillId="0" borderId="3" xfId="0" applyNumberFormat="1" applyBorder="1" applyAlignment="1">
      <alignment vertical="center"/>
    </xf>
    <xf numFmtId="0" fontId="6" fillId="4" borderId="26" xfId="1" applyFont="1" applyFill="1" applyBorder="1" applyAlignment="1">
      <alignment horizontal="left" vertical="center" wrapText="1"/>
    </xf>
    <xf numFmtId="0" fontId="0" fillId="4" borderId="19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4" borderId="53" xfId="0" applyFont="1" applyFill="1" applyBorder="1" applyAlignment="1">
      <alignment horizontal="center" vertical="center"/>
    </xf>
    <xf numFmtId="164" fontId="0" fillId="4" borderId="54" xfId="0" applyNumberFormat="1" applyFill="1" applyBorder="1"/>
    <xf numFmtId="164" fontId="0" fillId="4" borderId="53" xfId="0" applyNumberFormat="1" applyFill="1" applyBorder="1"/>
    <xf numFmtId="0" fontId="0" fillId="4" borderId="0" xfId="0" applyFill="1"/>
    <xf numFmtId="0" fontId="6" fillId="4" borderId="55" xfId="1" applyFont="1" applyFill="1" applyBorder="1" applyAlignment="1">
      <alignment horizontal="left" vertical="center" wrapText="1"/>
    </xf>
    <xf numFmtId="0" fontId="0" fillId="4" borderId="56" xfId="0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1" fillId="4" borderId="58" xfId="0" applyFont="1" applyFill="1" applyBorder="1" applyAlignment="1">
      <alignment horizontal="center" vertical="center"/>
    </xf>
    <xf numFmtId="0" fontId="1" fillId="4" borderId="59" xfId="0" applyFont="1" applyFill="1" applyBorder="1" applyAlignment="1">
      <alignment horizontal="center" vertical="center"/>
    </xf>
    <xf numFmtId="164" fontId="0" fillId="4" borderId="57" xfId="0" applyNumberFormat="1" applyFill="1" applyBorder="1"/>
    <xf numFmtId="164" fontId="0" fillId="4" borderId="59" xfId="0" applyNumberFormat="1" applyFill="1" applyBorder="1"/>
    <xf numFmtId="0" fontId="0" fillId="4" borderId="60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64" fontId="0" fillId="0" borderId="61" xfId="0" applyNumberFormat="1" applyBorder="1"/>
    <xf numFmtId="164" fontId="0" fillId="0" borderId="41" xfId="0" applyNumberFormat="1" applyBorder="1"/>
    <xf numFmtId="164" fontId="0" fillId="0" borderId="31" xfId="0" applyNumberFormat="1" applyBorder="1"/>
    <xf numFmtId="164" fontId="0" fillId="4" borderId="0" xfId="0" applyNumberFormat="1" applyFill="1"/>
    <xf numFmtId="164" fontId="0" fillId="0" borderId="44" xfId="0" applyNumberFormat="1" applyBorder="1"/>
    <xf numFmtId="164" fontId="0" fillId="4" borderId="60" xfId="0" applyNumberFormat="1" applyFill="1" applyBorder="1"/>
    <xf numFmtId="164" fontId="0" fillId="0" borderId="35" xfId="0" applyNumberFormat="1" applyBorder="1"/>
    <xf numFmtId="164" fontId="0" fillId="0" borderId="36" xfId="0" applyNumberFormat="1" applyBorder="1"/>
    <xf numFmtId="164" fontId="0" fillId="0" borderId="37" xfId="0" applyNumberFormat="1" applyBorder="1"/>
    <xf numFmtId="164" fontId="1" fillId="0" borderId="37" xfId="0" applyNumberFormat="1" applyFont="1" applyBorder="1"/>
    <xf numFmtId="164" fontId="0" fillId="0" borderId="63" xfId="0" applyNumberFormat="1" applyBorder="1"/>
    <xf numFmtId="164" fontId="0" fillId="4" borderId="9" xfId="0" applyNumberFormat="1" applyFill="1" applyBorder="1"/>
    <xf numFmtId="164" fontId="0" fillId="4" borderId="33" xfId="0" applyNumberFormat="1" applyFill="1" applyBorder="1"/>
    <xf numFmtId="164" fontId="0" fillId="0" borderId="28" xfId="0" applyNumberFormat="1" applyBorder="1"/>
    <xf numFmtId="164" fontId="0" fillId="0" borderId="20" xfId="0" applyNumberFormat="1" applyBorder="1"/>
    <xf numFmtId="164" fontId="0" fillId="0" borderId="29" xfId="0" applyNumberFormat="1" applyBorder="1"/>
    <xf numFmtId="164" fontId="1" fillId="0" borderId="43" xfId="0" applyNumberFormat="1" applyFont="1" applyBorder="1"/>
    <xf numFmtId="164" fontId="0" fillId="5" borderId="38" xfId="0" applyNumberFormat="1" applyFill="1" applyBorder="1"/>
    <xf numFmtId="164" fontId="0" fillId="5" borderId="30" xfId="0" applyNumberFormat="1" applyFill="1" applyBorder="1"/>
    <xf numFmtId="164" fontId="0" fillId="5" borderId="62" xfId="0" applyNumberFormat="1" applyFill="1" applyBorder="1"/>
    <xf numFmtId="164" fontId="0" fillId="5" borderId="8" xfId="0" applyNumberFormat="1" applyFill="1" applyBorder="1"/>
    <xf numFmtId="164" fontId="0" fillId="0" borderId="39" xfId="0" applyNumberFormat="1" applyBorder="1"/>
    <xf numFmtId="164" fontId="0" fillId="5" borderId="40" xfId="0" applyNumberFormat="1" applyFill="1" applyBorder="1"/>
    <xf numFmtId="164" fontId="0" fillId="0" borderId="0" xfId="0" applyNumberFormat="1"/>
    <xf numFmtId="164" fontId="1" fillId="6" borderId="4" xfId="0" applyNumberFormat="1" applyFont="1" applyFill="1" applyBorder="1" applyAlignment="1">
      <alignment horizontal="center" vertical="center"/>
    </xf>
    <xf numFmtId="164" fontId="0" fillId="6" borderId="35" xfId="0" applyNumberFormat="1" applyFill="1" applyBorder="1"/>
    <xf numFmtId="164" fontId="0" fillId="6" borderId="28" xfId="0" applyNumberFormat="1" applyFill="1" applyBorder="1"/>
    <xf numFmtId="164" fontId="0" fillId="6" borderId="43" xfId="0" applyNumberFormat="1" applyFill="1" applyBorder="1"/>
    <xf numFmtId="164" fontId="0" fillId="6" borderId="4" xfId="0" applyNumberFormat="1" applyFill="1" applyBorder="1"/>
    <xf numFmtId="164" fontId="0" fillId="6" borderId="39" xfId="0" applyNumberFormat="1" applyFill="1" applyBorder="1"/>
    <xf numFmtId="164" fontId="0" fillId="6" borderId="3" xfId="0" applyNumberFormat="1" applyFill="1" applyBorder="1" applyAlignment="1">
      <alignment vertical="center"/>
    </xf>
    <xf numFmtId="164" fontId="1" fillId="6" borderId="35" xfId="0" applyNumberFormat="1" applyFont="1" applyFill="1" applyBorder="1"/>
    <xf numFmtId="164" fontId="1" fillId="6" borderId="13" xfId="0" applyNumberFormat="1" applyFont="1" applyFill="1" applyBorder="1" applyAlignment="1">
      <alignment horizontal="center" vertical="center"/>
    </xf>
    <xf numFmtId="164" fontId="0" fillId="6" borderId="36" xfId="0" applyNumberFormat="1" applyFill="1" applyBorder="1"/>
    <xf numFmtId="164" fontId="0" fillId="6" borderId="20" xfId="0" applyNumberFormat="1" applyFill="1" applyBorder="1"/>
    <xf numFmtId="164" fontId="0" fillId="6" borderId="61" xfId="0" applyNumberFormat="1" applyFill="1" applyBorder="1"/>
    <xf numFmtId="164" fontId="0" fillId="6" borderId="13" xfId="0" applyNumberFormat="1" applyFill="1" applyBorder="1"/>
    <xf numFmtId="164" fontId="0" fillId="6" borderId="25" xfId="0" applyNumberFormat="1" applyFill="1" applyBorder="1"/>
    <xf numFmtId="164" fontId="1" fillId="6" borderId="4" xfId="0" applyNumberFormat="1" applyFont="1" applyFill="1" applyBorder="1"/>
    <xf numFmtId="164" fontId="0" fillId="0" borderId="1" xfId="0" applyNumberFormat="1" applyBorder="1"/>
    <xf numFmtId="0" fontId="0" fillId="0" borderId="9" xfId="0" applyBorder="1"/>
    <xf numFmtId="164" fontId="0" fillId="6" borderId="33" xfId="0" applyNumberFormat="1" applyFill="1" applyBorder="1"/>
    <xf numFmtId="0" fontId="0" fillId="2" borderId="33" xfId="0" applyFill="1" applyBorder="1"/>
    <xf numFmtId="164" fontId="0" fillId="6" borderId="60" xfId="0" applyNumberFormat="1" applyFill="1" applyBorder="1"/>
    <xf numFmtId="165" fontId="5" fillId="2" borderId="60" xfId="0" applyNumberFormat="1" applyFont="1" applyFill="1" applyBorder="1"/>
    <xf numFmtId="165" fontId="5" fillId="2" borderId="33" xfId="0" applyNumberFormat="1" applyFont="1" applyFill="1" applyBorder="1"/>
    <xf numFmtId="164" fontId="0" fillId="0" borderId="21" xfId="0" applyNumberFormat="1" applyBorder="1"/>
    <xf numFmtId="0" fontId="0" fillId="0" borderId="26" xfId="0" applyBorder="1"/>
    <xf numFmtId="165" fontId="5" fillId="2" borderId="55" xfId="0" applyNumberFormat="1" applyFont="1" applyFill="1" applyBorder="1"/>
    <xf numFmtId="164" fontId="0" fillId="0" borderId="9" xfId="0" applyNumberFormat="1" applyBorder="1"/>
    <xf numFmtId="0" fontId="0" fillId="2" borderId="23" xfId="0" applyFill="1" applyBorder="1" applyAlignment="1">
      <alignment vertical="center"/>
    </xf>
    <xf numFmtId="164" fontId="1" fillId="6" borderId="43" xfId="0" applyNumberFormat="1" applyFont="1" applyFill="1" applyBorder="1" applyAlignment="1">
      <alignment horizontal="center" vertical="center"/>
    </xf>
    <xf numFmtId="164" fontId="0" fillId="0" borderId="15" xfId="0" applyNumberFormat="1" applyBorder="1" applyAlignment="1">
      <alignment horizontal="right" vertical="center"/>
    </xf>
    <xf numFmtId="164" fontId="0" fillId="0" borderId="15" xfId="0" applyNumberFormat="1" applyBorder="1" applyAlignment="1">
      <alignment vertical="center"/>
    </xf>
    <xf numFmtId="165" fontId="11" fillId="8" borderId="33" xfId="0" applyNumberFormat="1" applyFont="1" applyFill="1" applyBorder="1" applyAlignment="1">
      <alignment horizontal="right" vertical="center"/>
    </xf>
    <xf numFmtId="165" fontId="11" fillId="8" borderId="33" xfId="0" applyNumberFormat="1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4" fontId="0" fillId="9" borderId="38" xfId="0" applyNumberFormat="1" applyFill="1" applyBorder="1"/>
    <xf numFmtId="164" fontId="0" fillId="9" borderId="30" xfId="0" applyNumberFormat="1" applyFill="1" applyBorder="1"/>
    <xf numFmtId="164" fontId="0" fillId="9" borderId="10" xfId="0" applyNumberFormat="1" applyFill="1" applyBorder="1"/>
    <xf numFmtId="164" fontId="0" fillId="9" borderId="12" xfId="0" applyNumberFormat="1" applyFill="1" applyBorder="1"/>
    <xf numFmtId="164" fontId="0" fillId="9" borderId="8" xfId="0" applyNumberFormat="1" applyFill="1" applyBorder="1"/>
    <xf numFmtId="164" fontId="0" fillId="9" borderId="40" xfId="0" applyNumberFormat="1" applyFill="1" applyBorder="1"/>
    <xf numFmtId="164" fontId="0" fillId="9" borderId="63" xfId="0" applyNumberFormat="1" applyFill="1" applyBorder="1"/>
    <xf numFmtId="164" fontId="0" fillId="9" borderId="31" xfId="0" applyNumberFormat="1" applyFill="1" applyBorder="1"/>
    <xf numFmtId="0" fontId="0" fillId="9" borderId="2" xfId="0" applyFill="1" applyBorder="1"/>
    <xf numFmtId="165" fontId="5" fillId="9" borderId="49" xfId="0" applyNumberFormat="1" applyFont="1" applyFill="1" applyBorder="1"/>
    <xf numFmtId="165" fontId="5" fillId="9" borderId="2" xfId="0" applyNumberFormat="1" applyFont="1" applyFill="1" applyBorder="1"/>
    <xf numFmtId="165" fontId="5" fillId="9" borderId="22" xfId="0" applyNumberFormat="1" applyFont="1" applyFill="1" applyBorder="1"/>
    <xf numFmtId="165" fontId="0" fillId="0" borderId="0" xfId="0" applyNumberFormat="1"/>
    <xf numFmtId="0" fontId="1" fillId="9" borderId="24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6" borderId="58" xfId="0" applyFont="1" applyFill="1" applyBorder="1" applyAlignment="1">
      <alignment horizontal="center"/>
    </xf>
    <xf numFmtId="0" fontId="1" fillId="6" borderId="57" xfId="0" applyFont="1" applyFill="1" applyBorder="1" applyAlignment="1">
      <alignment horizontal="center"/>
    </xf>
    <xf numFmtId="0" fontId="1" fillId="2" borderId="58" xfId="0" applyFont="1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1" fillId="9" borderId="51" xfId="0" applyFont="1" applyFill="1" applyBorder="1" applyAlignment="1">
      <alignment horizontal="center"/>
    </xf>
    <xf numFmtId="0" fontId="0" fillId="9" borderId="65" xfId="0" applyFill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165" fontId="10" fillId="7" borderId="21" xfId="0" applyNumberFormat="1" applyFont="1" applyFill="1" applyBorder="1" applyAlignment="1">
      <alignment horizontal="center" vertical="center"/>
    </xf>
    <xf numFmtId="165" fontId="10" fillId="7" borderId="34" xfId="0" applyNumberFormat="1" applyFont="1" applyFill="1" applyBorder="1" applyAlignment="1">
      <alignment horizontal="center" vertical="center"/>
    </xf>
    <xf numFmtId="165" fontId="12" fillId="0" borderId="55" xfId="0" applyNumberFormat="1" applyFont="1" applyBorder="1" applyAlignment="1">
      <alignment horizontal="center" vertical="center"/>
    </xf>
    <xf numFmtId="165" fontId="12" fillId="0" borderId="66" xfId="0" applyNumberFormat="1" applyFont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6" fillId="0" borderId="46" xfId="1" applyFont="1" applyBorder="1" applyAlignment="1">
      <alignment horizontal="left" vertical="center" wrapText="1"/>
    </xf>
    <xf numFmtId="0" fontId="6" fillId="0" borderId="42" xfId="1" applyFont="1" applyBorder="1" applyAlignment="1">
      <alignment horizontal="left" vertical="center" wrapText="1"/>
    </xf>
    <xf numFmtId="0" fontId="6" fillId="0" borderId="51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24" xfId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1" fillId="9" borderId="45" xfId="0" applyFont="1" applyFill="1" applyBorder="1" applyAlignment="1">
      <alignment horizontal="center" vertical="center"/>
    </xf>
    <xf numFmtId="0" fontId="1" fillId="9" borderId="62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6" fillId="0" borderId="15" xfId="1" applyFont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164" fontId="0" fillId="3" borderId="39" xfId="0" applyNumberFormat="1" applyFill="1" applyBorder="1" applyAlignment="1">
      <alignment horizontal="center" vertical="center"/>
    </xf>
    <xf numFmtId="164" fontId="0" fillId="3" borderId="18" xfId="0" applyNumberForma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7" fillId="0" borderId="3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24" xfId="1" applyFont="1" applyBorder="1" applyAlignment="1">
      <alignment horizontal="left" vertical="center" wrapText="1"/>
    </xf>
    <xf numFmtId="0" fontId="7" fillId="0" borderId="21" xfId="1" applyFont="1" applyBorder="1" applyAlignment="1">
      <alignment vertical="center" wrapText="1"/>
    </xf>
    <xf numFmtId="0" fontId="7" fillId="0" borderId="26" xfId="1" applyFont="1" applyBorder="1" applyAlignment="1">
      <alignment vertical="center" wrapText="1"/>
    </xf>
    <xf numFmtId="0" fontId="7" fillId="0" borderId="22" xfId="1" applyFont="1" applyBorder="1" applyAlignment="1">
      <alignment vertical="center" wrapText="1"/>
    </xf>
    <xf numFmtId="0" fontId="7" fillId="0" borderId="15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0" borderId="21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2" xfId="1" applyFont="1" applyBorder="1" applyAlignment="1">
      <alignment horizontal="left" vertical="center" wrapText="1"/>
    </xf>
    <xf numFmtId="0" fontId="0" fillId="2" borderId="17" xfId="0" applyFill="1" applyBorder="1" applyAlignment="1">
      <alignment horizontal="center" vertical="center"/>
    </xf>
  </cellXfs>
  <cellStyles count="2">
    <cellStyle name="Обычный" xfId="0" builtinId="0"/>
    <cellStyle name="Обычный_Лист3" xfId="1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63"/>
  <sheetViews>
    <sheetView tabSelected="1" zoomScaleNormal="100" workbookViewId="0">
      <pane xSplit="1" ySplit="1" topLeftCell="B2" activePane="bottomRight" state="frozen"/>
      <selection pane="topRight" activeCell="C1" sqref="C1"/>
      <selection pane="bottomLeft" activeCell="A3" sqref="A3"/>
      <selection pane="bottomRight" activeCell="A2" sqref="A2:A4"/>
    </sheetView>
  </sheetViews>
  <sheetFormatPr defaultRowHeight="12.75" x14ac:dyDescent="0.2"/>
  <cols>
    <col min="1" max="1" width="30.140625" customWidth="1"/>
    <col min="2" max="2" width="18.28515625" style="6" customWidth="1"/>
    <col min="3" max="3" width="9.5703125" style="9" customWidth="1"/>
    <col min="4" max="4" width="8.7109375" customWidth="1"/>
    <col min="5" max="5" width="7.7109375" customWidth="1"/>
    <col min="6" max="30" width="8" customWidth="1"/>
  </cols>
  <sheetData>
    <row r="1" spans="1:107" ht="38.25" customHeight="1" thickBot="1" x14ac:dyDescent="0.25">
      <c r="A1" s="10" t="s">
        <v>0</v>
      </c>
      <c r="B1" s="15" t="s">
        <v>1</v>
      </c>
      <c r="C1" s="23" t="s">
        <v>48</v>
      </c>
      <c r="D1" s="147" t="s">
        <v>54</v>
      </c>
      <c r="E1" s="148"/>
      <c r="F1" s="1">
        <v>45119</v>
      </c>
      <c r="G1" s="1">
        <v>45120</v>
      </c>
      <c r="H1" s="1">
        <v>45121</v>
      </c>
      <c r="I1" s="1">
        <v>45122</v>
      </c>
      <c r="J1" s="1">
        <v>45123</v>
      </c>
      <c r="K1" s="1">
        <v>45124</v>
      </c>
      <c r="L1" s="1">
        <v>45125</v>
      </c>
      <c r="M1" s="1">
        <v>45126</v>
      </c>
      <c r="N1" s="1">
        <v>45127</v>
      </c>
      <c r="O1" s="1">
        <v>45128</v>
      </c>
      <c r="P1" s="1">
        <v>45129</v>
      </c>
      <c r="Q1" s="1">
        <v>45130</v>
      </c>
      <c r="R1" s="1">
        <v>45131</v>
      </c>
      <c r="S1" s="1">
        <v>45132</v>
      </c>
      <c r="T1" s="1">
        <v>45133</v>
      </c>
      <c r="U1" s="1">
        <v>45134</v>
      </c>
      <c r="V1" s="1">
        <v>45135</v>
      </c>
      <c r="W1" s="1">
        <v>45136</v>
      </c>
      <c r="X1" s="1">
        <v>45137</v>
      </c>
      <c r="Y1" s="1">
        <v>45138</v>
      </c>
      <c r="Z1" s="1">
        <v>45139</v>
      </c>
      <c r="AA1" s="1">
        <v>45140</v>
      </c>
      <c r="AB1" s="1">
        <v>44571</v>
      </c>
      <c r="AC1" s="1">
        <v>44572</v>
      </c>
      <c r="AD1" s="1">
        <v>44573</v>
      </c>
    </row>
    <row r="2" spans="1:107" s="27" customFormat="1" ht="13.5" thickBot="1" x14ac:dyDescent="0.25">
      <c r="A2" s="139" t="s">
        <v>6</v>
      </c>
      <c r="B2" s="157">
        <v>1240</v>
      </c>
      <c r="C2" s="133">
        <v>200</v>
      </c>
      <c r="D2" s="102">
        <f>SUM(F2:AD2)</f>
        <v>2000</v>
      </c>
      <c r="E2" s="99" t="s">
        <v>52</v>
      </c>
      <c r="F2" s="73"/>
      <c r="G2" s="74"/>
      <c r="H2" s="73"/>
      <c r="I2" s="74"/>
      <c r="J2" s="75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>
        <f>2000</f>
        <v>2000</v>
      </c>
      <c r="AB2" s="77"/>
      <c r="AC2" s="73"/>
      <c r="AD2" s="73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</row>
    <row r="3" spans="1:107" x14ac:dyDescent="0.2">
      <c r="A3" s="156"/>
      <c r="B3" s="158"/>
      <c r="C3" s="159"/>
      <c r="D3" s="100">
        <f>SUM(F3:AD3)</f>
        <v>0</v>
      </c>
      <c r="E3" s="24" t="s">
        <v>53</v>
      </c>
      <c r="F3" s="55"/>
      <c r="G3" s="62"/>
      <c r="H3" s="55"/>
      <c r="I3" s="62"/>
      <c r="J3" s="55"/>
      <c r="K3" s="48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2"/>
      <c r="AC3" s="55"/>
      <c r="AD3" s="55"/>
    </row>
    <row r="4" spans="1:107" s="28" customFormat="1" ht="13.5" thickBot="1" x14ac:dyDescent="0.25">
      <c r="A4" s="141"/>
      <c r="B4" s="146"/>
      <c r="C4" s="135"/>
      <c r="D4" s="119" t="s">
        <v>51</v>
      </c>
      <c r="E4" s="120"/>
      <c r="F4" s="106">
        <f>$B$2-F2-F3</f>
        <v>1240</v>
      </c>
      <c r="G4" s="107">
        <f>F4+$C$2*2-G2-G3</f>
        <v>1640</v>
      </c>
      <c r="H4" s="107">
        <f t="shared" ref="H4:AC4" si="0">G4+$C$2*2-H2-H3</f>
        <v>2040</v>
      </c>
      <c r="I4" s="107">
        <f t="shared" si="0"/>
        <v>2440</v>
      </c>
      <c r="J4" s="107">
        <f t="shared" si="0"/>
        <v>2840</v>
      </c>
      <c r="K4" s="107">
        <f t="shared" si="0"/>
        <v>3240</v>
      </c>
      <c r="L4" s="107">
        <f t="shared" si="0"/>
        <v>3640</v>
      </c>
      <c r="M4" s="107">
        <f t="shared" si="0"/>
        <v>4040</v>
      </c>
      <c r="N4" s="107">
        <f t="shared" si="0"/>
        <v>4440</v>
      </c>
      <c r="O4" s="107">
        <f t="shared" si="0"/>
        <v>4840</v>
      </c>
      <c r="P4" s="107">
        <f t="shared" si="0"/>
        <v>5240</v>
      </c>
      <c r="Q4" s="107">
        <f t="shared" si="0"/>
        <v>5640</v>
      </c>
      <c r="R4" s="107">
        <f t="shared" si="0"/>
        <v>6040</v>
      </c>
      <c r="S4" s="107">
        <f t="shared" si="0"/>
        <v>6440</v>
      </c>
      <c r="T4" s="107">
        <f t="shared" si="0"/>
        <v>6840</v>
      </c>
      <c r="U4" s="107">
        <f t="shared" si="0"/>
        <v>7240</v>
      </c>
      <c r="V4" s="107">
        <f t="shared" si="0"/>
        <v>7640</v>
      </c>
      <c r="W4" s="107">
        <f t="shared" si="0"/>
        <v>8040</v>
      </c>
      <c r="X4" s="107">
        <f t="shared" si="0"/>
        <v>8440</v>
      </c>
      <c r="Y4" s="107">
        <f t="shared" si="0"/>
        <v>8840</v>
      </c>
      <c r="Z4" s="107">
        <f t="shared" si="0"/>
        <v>9240</v>
      </c>
      <c r="AA4" s="107">
        <f t="shared" si="0"/>
        <v>7640</v>
      </c>
      <c r="AB4" s="107">
        <f t="shared" si="0"/>
        <v>8040</v>
      </c>
      <c r="AC4" s="107">
        <f t="shared" si="0"/>
        <v>8440</v>
      </c>
      <c r="AD4" s="107">
        <f>AC4+$C$2*2-AD2-AD3</f>
        <v>8840</v>
      </c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</row>
    <row r="5" spans="1:107" s="27" customFormat="1" ht="13.5" thickBot="1" x14ac:dyDescent="0.25">
      <c r="A5" s="139" t="s">
        <v>8</v>
      </c>
      <c r="B5" s="144">
        <v>24227</v>
      </c>
      <c r="C5" s="133">
        <v>1750</v>
      </c>
      <c r="D5" s="103">
        <f>SUM(F5:AD5)</f>
        <v>66160</v>
      </c>
      <c r="E5" s="99" t="s">
        <v>52</v>
      </c>
      <c r="F5" s="73"/>
      <c r="G5" s="74"/>
      <c r="H5" s="73"/>
      <c r="I5" s="74"/>
      <c r="J5" s="73"/>
      <c r="K5" s="75"/>
      <c r="L5" s="76">
        <f>15300+29100</f>
        <v>44400</v>
      </c>
      <c r="M5" s="76">
        <f>4030+1100</f>
        <v>5130</v>
      </c>
      <c r="N5" s="76"/>
      <c r="O5" s="76">
        <f>6100</f>
        <v>6100</v>
      </c>
      <c r="P5" s="76">
        <f>1200</f>
        <v>1200</v>
      </c>
      <c r="Q5" s="76"/>
      <c r="R5" s="76"/>
      <c r="S5" s="76"/>
      <c r="T5" s="76"/>
      <c r="U5" s="76"/>
      <c r="V5" s="76">
        <f>3000+330+6000</f>
        <v>9330</v>
      </c>
      <c r="W5" s="76"/>
      <c r="X5" s="76"/>
      <c r="Y5" s="76"/>
      <c r="Z5" s="76"/>
      <c r="AA5" s="77"/>
      <c r="AB5" s="73"/>
      <c r="AC5" s="73"/>
      <c r="AD5" s="76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</row>
    <row r="6" spans="1:107" x14ac:dyDescent="0.2">
      <c r="A6" s="140"/>
      <c r="B6" s="145"/>
      <c r="C6" s="134"/>
      <c r="D6" s="101">
        <f>SUM(F6:AD6)</f>
        <v>1200</v>
      </c>
      <c r="E6" s="24" t="s">
        <v>53</v>
      </c>
      <c r="F6" s="56"/>
      <c r="G6" s="63"/>
      <c r="H6" s="56"/>
      <c r="I6" s="63"/>
      <c r="J6" s="56"/>
      <c r="K6" s="49"/>
      <c r="L6" s="3"/>
      <c r="M6" s="3"/>
      <c r="N6" s="3">
        <f>1200</f>
        <v>1200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5"/>
      <c r="AC6" s="56"/>
      <c r="AD6" s="56"/>
    </row>
    <row r="7" spans="1:107" s="28" customFormat="1" ht="13.5" thickBot="1" x14ac:dyDescent="0.25">
      <c r="A7" s="141"/>
      <c r="B7" s="146"/>
      <c r="C7" s="135"/>
      <c r="D7" s="119" t="s">
        <v>51</v>
      </c>
      <c r="E7" s="120"/>
      <c r="F7" s="106">
        <f>$B$5+B7-F5-F6</f>
        <v>24227</v>
      </c>
      <c r="G7" s="107">
        <f>F7+$C$5*2-G5-G6</f>
        <v>27727</v>
      </c>
      <c r="H7" s="107">
        <f t="shared" ref="H7:AC7" si="1">G7+$C$5*2-H5-H6</f>
        <v>31227</v>
      </c>
      <c r="I7" s="107">
        <f t="shared" si="1"/>
        <v>34727</v>
      </c>
      <c r="J7" s="107">
        <f t="shared" si="1"/>
        <v>38227</v>
      </c>
      <c r="K7" s="107">
        <f t="shared" si="1"/>
        <v>41727</v>
      </c>
      <c r="L7" s="107">
        <f t="shared" si="1"/>
        <v>827</v>
      </c>
      <c r="M7" s="107">
        <f t="shared" si="1"/>
        <v>-803</v>
      </c>
      <c r="N7" s="107">
        <f t="shared" si="1"/>
        <v>1497</v>
      </c>
      <c r="O7" s="107">
        <f t="shared" si="1"/>
        <v>-1103</v>
      </c>
      <c r="P7" s="107">
        <f t="shared" si="1"/>
        <v>1197</v>
      </c>
      <c r="Q7" s="107">
        <f t="shared" si="1"/>
        <v>4697</v>
      </c>
      <c r="R7" s="107">
        <f t="shared" si="1"/>
        <v>8197</v>
      </c>
      <c r="S7" s="107">
        <f t="shared" si="1"/>
        <v>11697</v>
      </c>
      <c r="T7" s="107">
        <f t="shared" si="1"/>
        <v>15197</v>
      </c>
      <c r="U7" s="107">
        <f t="shared" si="1"/>
        <v>18697</v>
      </c>
      <c r="V7" s="107">
        <f t="shared" si="1"/>
        <v>12867</v>
      </c>
      <c r="W7" s="107">
        <f t="shared" si="1"/>
        <v>16367</v>
      </c>
      <c r="X7" s="107">
        <f t="shared" si="1"/>
        <v>19867</v>
      </c>
      <c r="Y7" s="107">
        <f t="shared" si="1"/>
        <v>23367</v>
      </c>
      <c r="Z7" s="107">
        <f t="shared" si="1"/>
        <v>26867</v>
      </c>
      <c r="AA7" s="107">
        <f t="shared" si="1"/>
        <v>30367</v>
      </c>
      <c r="AB7" s="107">
        <f t="shared" si="1"/>
        <v>33867</v>
      </c>
      <c r="AC7" s="107">
        <f t="shared" si="1"/>
        <v>37367</v>
      </c>
      <c r="AD7" s="107">
        <f>AC7+$C$5*2-AD5-AD6</f>
        <v>40867</v>
      </c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</row>
    <row r="8" spans="1:107" s="27" customFormat="1" ht="13.5" thickBot="1" x14ac:dyDescent="0.25">
      <c r="A8" s="139" t="s">
        <v>64</v>
      </c>
      <c r="B8" s="144">
        <v>2050</v>
      </c>
      <c r="C8" s="160">
        <v>300</v>
      </c>
      <c r="D8" s="103">
        <f>SUM(F8:AD8)</f>
        <v>15050</v>
      </c>
      <c r="E8" s="99" t="s">
        <v>52</v>
      </c>
      <c r="F8" s="79"/>
      <c r="G8" s="73">
        <f>300+60+600+30+150</f>
        <v>1140</v>
      </c>
      <c r="H8" s="74"/>
      <c r="I8" s="73"/>
      <c r="J8" s="75"/>
      <c r="K8" s="76"/>
      <c r="L8" s="76"/>
      <c r="M8" s="76"/>
      <c r="N8" s="76"/>
      <c r="O8" s="76">
        <f>6100+600</f>
        <v>6700</v>
      </c>
      <c r="P8" s="76"/>
      <c r="Q8" s="76"/>
      <c r="R8" s="76"/>
      <c r="S8" s="76"/>
      <c r="T8" s="76"/>
      <c r="U8" s="76"/>
      <c r="V8" s="76">
        <f>600+3000+3610</f>
        <v>7210</v>
      </c>
      <c r="W8" s="76"/>
      <c r="X8" s="76"/>
      <c r="Y8" s="77"/>
      <c r="Z8" s="73"/>
      <c r="AA8" s="76"/>
      <c r="AB8" s="77"/>
      <c r="AC8" s="73"/>
      <c r="AD8" s="76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</row>
    <row r="9" spans="1:107" x14ac:dyDescent="0.2">
      <c r="A9" s="140"/>
      <c r="B9" s="145"/>
      <c r="C9" s="161"/>
      <c r="D9" s="101">
        <f>SUM(F9:AD9)</f>
        <v>0</v>
      </c>
      <c r="E9" s="24" t="s">
        <v>53</v>
      </c>
      <c r="F9" s="57"/>
      <c r="G9" s="63"/>
      <c r="H9" s="56"/>
      <c r="I9" s="63"/>
      <c r="J9" s="56"/>
      <c r="K9" s="4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5"/>
      <c r="AC9" s="56"/>
      <c r="AD9" s="56"/>
    </row>
    <row r="10" spans="1:107" s="28" customFormat="1" ht="13.5" thickBot="1" x14ac:dyDescent="0.25">
      <c r="A10" s="141"/>
      <c r="B10" s="146"/>
      <c r="C10" s="135"/>
      <c r="D10" s="119" t="s">
        <v>51</v>
      </c>
      <c r="E10" s="120"/>
      <c r="F10" s="106">
        <f>$B$8-F8-F9</f>
        <v>2050</v>
      </c>
      <c r="G10" s="107">
        <f>F10+$C$8*2-G8-G9</f>
        <v>1510</v>
      </c>
      <c r="H10" s="107">
        <f t="shared" ref="H10:AC10" si="2">G10+$C$8*2-H8-H9</f>
        <v>2110</v>
      </c>
      <c r="I10" s="107">
        <f t="shared" si="2"/>
        <v>2710</v>
      </c>
      <c r="J10" s="107">
        <f t="shared" si="2"/>
        <v>3310</v>
      </c>
      <c r="K10" s="107">
        <f t="shared" si="2"/>
        <v>3910</v>
      </c>
      <c r="L10" s="107">
        <f t="shared" si="2"/>
        <v>4510</v>
      </c>
      <c r="M10" s="107">
        <f t="shared" si="2"/>
        <v>5110</v>
      </c>
      <c r="N10" s="107">
        <f t="shared" si="2"/>
        <v>5710</v>
      </c>
      <c r="O10" s="107">
        <f t="shared" si="2"/>
        <v>-390</v>
      </c>
      <c r="P10" s="107">
        <f t="shared" si="2"/>
        <v>210</v>
      </c>
      <c r="Q10" s="107">
        <f t="shared" si="2"/>
        <v>810</v>
      </c>
      <c r="R10" s="107">
        <f t="shared" si="2"/>
        <v>1410</v>
      </c>
      <c r="S10" s="107">
        <f t="shared" si="2"/>
        <v>2010</v>
      </c>
      <c r="T10" s="107">
        <f t="shared" si="2"/>
        <v>2610</v>
      </c>
      <c r="U10" s="107">
        <f t="shared" si="2"/>
        <v>3210</v>
      </c>
      <c r="V10" s="107">
        <f t="shared" si="2"/>
        <v>-3400</v>
      </c>
      <c r="W10" s="107">
        <f t="shared" si="2"/>
        <v>-2800</v>
      </c>
      <c r="X10" s="107">
        <f t="shared" si="2"/>
        <v>-2200</v>
      </c>
      <c r="Y10" s="107">
        <f t="shared" si="2"/>
        <v>-1600</v>
      </c>
      <c r="Z10" s="107">
        <f t="shared" si="2"/>
        <v>-1000</v>
      </c>
      <c r="AA10" s="107">
        <f t="shared" si="2"/>
        <v>-400</v>
      </c>
      <c r="AB10" s="107">
        <f t="shared" si="2"/>
        <v>200</v>
      </c>
      <c r="AC10" s="107">
        <f t="shared" si="2"/>
        <v>800</v>
      </c>
      <c r="AD10" s="107">
        <f>AC10+$C$8*2-AD8-AD9</f>
        <v>1400</v>
      </c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</row>
    <row r="11" spans="1:107" s="27" customFormat="1" ht="13.5" thickBot="1" x14ac:dyDescent="0.25">
      <c r="A11" s="139" t="s">
        <v>9</v>
      </c>
      <c r="B11" s="144">
        <v>923</v>
      </c>
      <c r="C11" s="133">
        <v>150</v>
      </c>
      <c r="D11" s="103">
        <f>SUM(F11:AD11)</f>
        <v>20800</v>
      </c>
      <c r="E11" s="99" t="s">
        <v>52</v>
      </c>
      <c r="F11" s="73"/>
      <c r="G11" s="74"/>
      <c r="H11" s="73">
        <f>1500</f>
        <v>1500</v>
      </c>
      <c r="I11" s="74"/>
      <c r="J11" s="73"/>
      <c r="K11" s="75"/>
      <c r="L11" s="76"/>
      <c r="M11" s="76"/>
      <c r="N11" s="76"/>
      <c r="O11" s="76">
        <f>6100</f>
        <v>6100</v>
      </c>
      <c r="P11" s="76"/>
      <c r="Q11" s="76"/>
      <c r="R11" s="76"/>
      <c r="S11" s="76"/>
      <c r="T11" s="76"/>
      <c r="U11" s="76"/>
      <c r="V11" s="76">
        <f>4000+3200+6000</f>
        <v>13200</v>
      </c>
      <c r="W11" s="76"/>
      <c r="X11" s="76"/>
      <c r="Y11" s="76"/>
      <c r="Z11" s="76"/>
      <c r="AA11" s="76"/>
      <c r="AB11" s="77"/>
      <c r="AC11" s="73"/>
      <c r="AD11" s="76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</row>
    <row r="12" spans="1:107" x14ac:dyDescent="0.2">
      <c r="A12" s="140"/>
      <c r="B12" s="145"/>
      <c r="C12" s="134"/>
      <c r="D12" s="101">
        <f>SUM(F12:AD12)</f>
        <v>0</v>
      </c>
      <c r="E12" s="24" t="s">
        <v>53</v>
      </c>
      <c r="F12" s="56"/>
      <c r="G12" s="63"/>
      <c r="H12" s="56"/>
      <c r="I12" s="63"/>
      <c r="J12" s="56"/>
      <c r="K12" s="49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5"/>
      <c r="AC12" s="56"/>
      <c r="AD12" s="56"/>
    </row>
    <row r="13" spans="1:107" s="28" customFormat="1" ht="13.5" thickBot="1" x14ac:dyDescent="0.25">
      <c r="A13" s="141"/>
      <c r="B13" s="146"/>
      <c r="C13" s="135"/>
      <c r="D13" s="119" t="s">
        <v>51</v>
      </c>
      <c r="E13" s="120"/>
      <c r="F13" s="106">
        <f>$B$11-F11-F12</f>
        <v>923</v>
      </c>
      <c r="G13" s="107">
        <f>F13+$C$11*2-G11-G12</f>
        <v>1223</v>
      </c>
      <c r="H13" s="107">
        <f t="shared" ref="H13:AC13" si="3">G13+$C$11*2-H11-H12</f>
        <v>23</v>
      </c>
      <c r="I13" s="107">
        <f t="shared" si="3"/>
        <v>323</v>
      </c>
      <c r="J13" s="107">
        <f t="shared" si="3"/>
        <v>623</v>
      </c>
      <c r="K13" s="107">
        <f t="shared" si="3"/>
        <v>923</v>
      </c>
      <c r="L13" s="107">
        <f t="shared" si="3"/>
        <v>1223</v>
      </c>
      <c r="M13" s="107">
        <f t="shared" si="3"/>
        <v>1523</v>
      </c>
      <c r="N13" s="107">
        <f t="shared" si="3"/>
        <v>1823</v>
      </c>
      <c r="O13" s="107">
        <f t="shared" si="3"/>
        <v>-3977</v>
      </c>
      <c r="P13" s="107">
        <f t="shared" si="3"/>
        <v>-3677</v>
      </c>
      <c r="Q13" s="107">
        <f t="shared" si="3"/>
        <v>-3377</v>
      </c>
      <c r="R13" s="107">
        <f t="shared" si="3"/>
        <v>-3077</v>
      </c>
      <c r="S13" s="107">
        <f t="shared" si="3"/>
        <v>-2777</v>
      </c>
      <c r="T13" s="107">
        <f t="shared" si="3"/>
        <v>-2477</v>
      </c>
      <c r="U13" s="107">
        <f t="shared" si="3"/>
        <v>-2177</v>
      </c>
      <c r="V13" s="107">
        <f t="shared" si="3"/>
        <v>-15077</v>
      </c>
      <c r="W13" s="107">
        <f t="shared" si="3"/>
        <v>-14777</v>
      </c>
      <c r="X13" s="107">
        <f t="shared" si="3"/>
        <v>-14477</v>
      </c>
      <c r="Y13" s="107">
        <f t="shared" si="3"/>
        <v>-14177</v>
      </c>
      <c r="Z13" s="107">
        <f t="shared" si="3"/>
        <v>-13877</v>
      </c>
      <c r="AA13" s="107">
        <f t="shared" si="3"/>
        <v>-13577</v>
      </c>
      <c r="AB13" s="107">
        <f t="shared" si="3"/>
        <v>-13277</v>
      </c>
      <c r="AC13" s="107">
        <f t="shared" si="3"/>
        <v>-12977</v>
      </c>
      <c r="AD13" s="107">
        <f>AC13+$C$11*2-AD11-AD12</f>
        <v>-12677</v>
      </c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</row>
    <row r="14" spans="1:107" s="27" customFormat="1" ht="13.5" thickBot="1" x14ac:dyDescent="0.25">
      <c r="A14" s="136" t="s">
        <v>55</v>
      </c>
      <c r="B14" s="18">
        <v>5880</v>
      </c>
      <c r="C14" s="133">
        <v>500</v>
      </c>
      <c r="D14" s="103">
        <f>SUM(F14:AD14)</f>
        <v>0</v>
      </c>
      <c r="E14" s="72" t="s">
        <v>52</v>
      </c>
      <c r="F14" s="73"/>
      <c r="G14" s="74"/>
      <c r="H14" s="73"/>
      <c r="I14" s="74"/>
      <c r="J14" s="73"/>
      <c r="K14" s="75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7"/>
      <c r="AC14" s="73"/>
      <c r="AD14" s="73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</row>
    <row r="15" spans="1:107" x14ac:dyDescent="0.2">
      <c r="A15" s="137"/>
      <c r="B15" s="98"/>
      <c r="C15" s="134"/>
      <c r="D15" s="25">
        <f>SUM(F15:AD15)</f>
        <v>2400</v>
      </c>
      <c r="E15" s="24" t="s">
        <v>53</v>
      </c>
      <c r="F15" s="56"/>
      <c r="G15" s="63">
        <f>300</f>
        <v>300</v>
      </c>
      <c r="H15" s="56"/>
      <c r="I15" s="63"/>
      <c r="J15" s="56"/>
      <c r="K15" s="49"/>
      <c r="L15" s="3"/>
      <c r="M15" s="3"/>
      <c r="N15" s="3"/>
      <c r="O15" s="3"/>
      <c r="P15" s="3">
        <f>2100</f>
        <v>2100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5"/>
      <c r="AC15" s="56"/>
      <c r="AD15" s="56"/>
    </row>
    <row r="16" spans="1:107" s="28" customFormat="1" ht="13.5" thickBot="1" x14ac:dyDescent="0.25">
      <c r="A16" s="138"/>
      <c r="B16" s="11">
        <v>533</v>
      </c>
      <c r="C16" s="135"/>
      <c r="D16" s="119" t="s">
        <v>51</v>
      </c>
      <c r="E16" s="120"/>
      <c r="F16" s="106">
        <f>B14+B16-F14-F15</f>
        <v>6413</v>
      </c>
      <c r="G16" s="107">
        <f>F16+$C$14*2-G14-G15</f>
        <v>7113</v>
      </c>
      <c r="H16" s="107">
        <f t="shared" ref="H16:AC16" si="4">G16+$C$14*2-H14-H15</f>
        <v>8113</v>
      </c>
      <c r="I16" s="107">
        <f t="shared" si="4"/>
        <v>9113</v>
      </c>
      <c r="J16" s="107">
        <f t="shared" si="4"/>
        <v>10113</v>
      </c>
      <c r="K16" s="107">
        <f t="shared" si="4"/>
        <v>11113</v>
      </c>
      <c r="L16" s="107">
        <f t="shared" si="4"/>
        <v>12113</v>
      </c>
      <c r="M16" s="107">
        <f t="shared" si="4"/>
        <v>13113</v>
      </c>
      <c r="N16" s="107">
        <f t="shared" si="4"/>
        <v>14113</v>
      </c>
      <c r="O16" s="107">
        <f t="shared" si="4"/>
        <v>15113</v>
      </c>
      <c r="P16" s="107">
        <f t="shared" si="4"/>
        <v>14013</v>
      </c>
      <c r="Q16" s="107">
        <f t="shared" si="4"/>
        <v>15013</v>
      </c>
      <c r="R16" s="107">
        <f t="shared" si="4"/>
        <v>16013</v>
      </c>
      <c r="S16" s="107">
        <f t="shared" si="4"/>
        <v>17013</v>
      </c>
      <c r="T16" s="107">
        <f t="shared" si="4"/>
        <v>18013</v>
      </c>
      <c r="U16" s="107">
        <f t="shared" si="4"/>
        <v>19013</v>
      </c>
      <c r="V16" s="107">
        <f t="shared" si="4"/>
        <v>20013</v>
      </c>
      <c r="W16" s="107">
        <f t="shared" si="4"/>
        <v>21013</v>
      </c>
      <c r="X16" s="107">
        <f t="shared" si="4"/>
        <v>22013</v>
      </c>
      <c r="Y16" s="107">
        <f t="shared" si="4"/>
        <v>23013</v>
      </c>
      <c r="Z16" s="107">
        <f t="shared" si="4"/>
        <v>24013</v>
      </c>
      <c r="AA16" s="107">
        <f t="shared" si="4"/>
        <v>25013</v>
      </c>
      <c r="AB16" s="107">
        <f t="shared" si="4"/>
        <v>26013</v>
      </c>
      <c r="AC16" s="107">
        <f t="shared" si="4"/>
        <v>27013</v>
      </c>
      <c r="AD16" s="107">
        <f>AC16+$C$14*2-AD14-AD15</f>
        <v>28013</v>
      </c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</row>
    <row r="17" spans="1:107" s="27" customFormat="1" ht="13.5" thickBot="1" x14ac:dyDescent="0.25">
      <c r="A17" s="139" t="s">
        <v>13</v>
      </c>
      <c r="B17" s="144">
        <v>2471</v>
      </c>
      <c r="C17" s="133">
        <v>1400</v>
      </c>
      <c r="D17" s="103">
        <f>SUM(F17:AD17)</f>
        <v>110315</v>
      </c>
      <c r="E17" s="72" t="s">
        <v>52</v>
      </c>
      <c r="F17" s="73"/>
      <c r="G17" s="74"/>
      <c r="H17" s="73"/>
      <c r="I17" s="74">
        <f>2000+2000+5000+6615</f>
        <v>15615</v>
      </c>
      <c r="J17" s="73"/>
      <c r="K17" s="75"/>
      <c r="L17" s="76">
        <f>1000+1500</f>
        <v>2500</v>
      </c>
      <c r="M17" s="76">
        <f>16500</f>
        <v>16500</v>
      </c>
      <c r="N17" s="76">
        <f>2000+13750</f>
        <v>15750</v>
      </c>
      <c r="O17" s="76"/>
      <c r="P17" s="76"/>
      <c r="Q17" s="76"/>
      <c r="R17" s="76"/>
      <c r="S17" s="76"/>
      <c r="T17" s="76"/>
      <c r="U17" s="76"/>
      <c r="V17" s="76">
        <f>20250+4700+35000</f>
        <v>59950</v>
      </c>
      <c r="W17" s="76"/>
      <c r="X17" s="76"/>
      <c r="Y17" s="76"/>
      <c r="Z17" s="76"/>
      <c r="AA17" s="76"/>
      <c r="AB17" s="77"/>
      <c r="AC17" s="73"/>
      <c r="AD17" s="76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</row>
    <row r="18" spans="1:107" x14ac:dyDescent="0.2">
      <c r="A18" s="140"/>
      <c r="B18" s="145"/>
      <c r="C18" s="134"/>
      <c r="D18" s="25">
        <f>SUM(F18:AD18)</f>
        <v>33250</v>
      </c>
      <c r="E18" s="24" t="s">
        <v>53</v>
      </c>
      <c r="F18" s="56"/>
      <c r="G18" s="63"/>
      <c r="H18" s="56"/>
      <c r="I18" s="63">
        <f>1000</f>
        <v>1000</v>
      </c>
      <c r="J18" s="56"/>
      <c r="K18" s="49"/>
      <c r="L18" s="3">
        <f>250</f>
        <v>250</v>
      </c>
      <c r="M18" s="3">
        <f>5000</f>
        <v>5000</v>
      </c>
      <c r="N18" s="3"/>
      <c r="O18" s="3">
        <f>13000</f>
        <v>13000</v>
      </c>
      <c r="P18" s="3"/>
      <c r="Q18" s="3"/>
      <c r="R18" s="3"/>
      <c r="S18" s="3"/>
      <c r="T18" s="3"/>
      <c r="U18" s="3"/>
      <c r="V18" s="3">
        <f>4000</f>
        <v>4000</v>
      </c>
      <c r="W18" s="3"/>
      <c r="X18" s="3"/>
      <c r="Y18" s="3"/>
      <c r="Z18" s="3"/>
      <c r="AA18" s="3"/>
      <c r="AB18" s="5"/>
      <c r="AC18" s="56"/>
      <c r="AD18" s="56">
        <f>10000</f>
        <v>10000</v>
      </c>
    </row>
    <row r="19" spans="1:107" s="28" customFormat="1" ht="13.5" thickBot="1" x14ac:dyDescent="0.25">
      <c r="A19" s="141"/>
      <c r="B19" s="146"/>
      <c r="C19" s="135"/>
      <c r="D19" s="119" t="s">
        <v>51</v>
      </c>
      <c r="E19" s="120"/>
      <c r="F19" s="106">
        <f>$B$17-F17-F18</f>
        <v>2471</v>
      </c>
      <c r="G19" s="107">
        <f>F19+$C$17*2-G17-G18</f>
        <v>5271</v>
      </c>
      <c r="H19" s="107">
        <f t="shared" ref="H19:AC19" si="5">G19+$C$17*2-H17-H18</f>
        <v>8071</v>
      </c>
      <c r="I19" s="107">
        <f t="shared" si="5"/>
        <v>-5744</v>
      </c>
      <c r="J19" s="107">
        <f t="shared" si="5"/>
        <v>-2944</v>
      </c>
      <c r="K19" s="107">
        <f t="shared" si="5"/>
        <v>-144</v>
      </c>
      <c r="L19" s="107">
        <f t="shared" si="5"/>
        <v>-94</v>
      </c>
      <c r="M19" s="107">
        <f t="shared" si="5"/>
        <v>-18794</v>
      </c>
      <c r="N19" s="107">
        <f t="shared" si="5"/>
        <v>-31744</v>
      </c>
      <c r="O19" s="107">
        <f t="shared" si="5"/>
        <v>-41944</v>
      </c>
      <c r="P19" s="107">
        <f t="shared" si="5"/>
        <v>-39144</v>
      </c>
      <c r="Q19" s="107">
        <f t="shared" si="5"/>
        <v>-36344</v>
      </c>
      <c r="R19" s="107">
        <f t="shared" si="5"/>
        <v>-33544</v>
      </c>
      <c r="S19" s="107">
        <f t="shared" si="5"/>
        <v>-30744</v>
      </c>
      <c r="T19" s="107">
        <f t="shared" si="5"/>
        <v>-27944</v>
      </c>
      <c r="U19" s="107">
        <f t="shared" si="5"/>
        <v>-25144</v>
      </c>
      <c r="V19" s="107">
        <f t="shared" si="5"/>
        <v>-86294</v>
      </c>
      <c r="W19" s="107">
        <f t="shared" si="5"/>
        <v>-83494</v>
      </c>
      <c r="X19" s="107">
        <f t="shared" si="5"/>
        <v>-80694</v>
      </c>
      <c r="Y19" s="107">
        <f t="shared" si="5"/>
        <v>-77894</v>
      </c>
      <c r="Z19" s="107">
        <f t="shared" si="5"/>
        <v>-75094</v>
      </c>
      <c r="AA19" s="107">
        <f t="shared" si="5"/>
        <v>-72294</v>
      </c>
      <c r="AB19" s="107">
        <f t="shared" si="5"/>
        <v>-69494</v>
      </c>
      <c r="AC19" s="107">
        <f t="shared" si="5"/>
        <v>-66694</v>
      </c>
      <c r="AD19" s="107">
        <f>AC19+$C$17*2-AD17-AD18</f>
        <v>-73894</v>
      </c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</row>
    <row r="20" spans="1:107" s="27" customFormat="1" ht="13.5" thickBot="1" x14ac:dyDescent="0.25">
      <c r="A20" s="136" t="s">
        <v>14</v>
      </c>
      <c r="B20" s="144">
        <v>2087</v>
      </c>
      <c r="C20" s="133">
        <v>1350</v>
      </c>
      <c r="D20" s="103">
        <f>SUM(F20:AD20)</f>
        <v>85290</v>
      </c>
      <c r="E20" s="72" t="s">
        <v>52</v>
      </c>
      <c r="F20" s="73"/>
      <c r="G20" s="74"/>
      <c r="H20" s="73"/>
      <c r="I20" s="74">
        <f>250</f>
        <v>250</v>
      </c>
      <c r="J20" s="73"/>
      <c r="K20" s="75"/>
      <c r="L20" s="76">
        <f>4000</f>
        <v>4000</v>
      </c>
      <c r="M20" s="76">
        <f>26250</f>
        <v>26250</v>
      </c>
      <c r="N20" s="76">
        <f>750</f>
        <v>750</v>
      </c>
      <c r="O20" s="76">
        <f>2500+2000</f>
        <v>4500</v>
      </c>
      <c r="P20" s="76">
        <f>540</f>
        <v>540</v>
      </c>
      <c r="Q20" s="76"/>
      <c r="R20" s="76"/>
      <c r="S20" s="76"/>
      <c r="T20" s="76"/>
      <c r="U20" s="76"/>
      <c r="V20" s="76">
        <f>7000+42000</f>
        <v>49000</v>
      </c>
      <c r="W20" s="76"/>
      <c r="X20" s="76"/>
      <c r="Y20" s="76"/>
      <c r="Z20" s="76"/>
      <c r="AA20" s="76"/>
      <c r="AB20" s="77"/>
      <c r="AC20" s="73"/>
      <c r="AD20" s="73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</row>
    <row r="21" spans="1:107" x14ac:dyDescent="0.2">
      <c r="A21" s="137"/>
      <c r="B21" s="145"/>
      <c r="C21" s="134"/>
      <c r="D21" s="25">
        <f>SUM(F21:AD21)</f>
        <v>23000</v>
      </c>
      <c r="E21" s="24" t="s">
        <v>53</v>
      </c>
      <c r="F21" s="56"/>
      <c r="G21" s="63"/>
      <c r="H21" s="56"/>
      <c r="I21" s="63"/>
      <c r="J21" s="56"/>
      <c r="K21" s="49"/>
      <c r="L21" s="3">
        <f>5000</f>
        <v>5000</v>
      </c>
      <c r="M21" s="3"/>
      <c r="N21" s="3"/>
      <c r="O21" s="3">
        <f>3000</f>
        <v>3000</v>
      </c>
      <c r="P21" s="3"/>
      <c r="Q21" s="3"/>
      <c r="R21" s="3"/>
      <c r="S21" s="3"/>
      <c r="T21" s="3"/>
      <c r="U21" s="3"/>
      <c r="V21" s="3">
        <f>5000</f>
        <v>5000</v>
      </c>
      <c r="W21" s="3"/>
      <c r="X21" s="3"/>
      <c r="Y21" s="3"/>
      <c r="Z21" s="3"/>
      <c r="AA21" s="3"/>
      <c r="AB21" s="5"/>
      <c r="AC21" s="56"/>
      <c r="AD21" s="56">
        <f>10000</f>
        <v>10000</v>
      </c>
    </row>
    <row r="22" spans="1:107" s="28" customFormat="1" ht="13.5" thickBot="1" x14ac:dyDescent="0.25">
      <c r="A22" s="138"/>
      <c r="B22" s="146"/>
      <c r="C22" s="135"/>
      <c r="D22" s="119" t="s">
        <v>51</v>
      </c>
      <c r="E22" s="120"/>
      <c r="F22" s="106">
        <f>B20-F20-F21</f>
        <v>2087</v>
      </c>
      <c r="G22" s="107">
        <f>F22+$C$20*2-G20-G21</f>
        <v>4787</v>
      </c>
      <c r="H22" s="107">
        <f t="shared" ref="H22:AC22" si="6">G22+$C$20*2-H20-H21</f>
        <v>7487</v>
      </c>
      <c r="I22" s="107">
        <f t="shared" si="6"/>
        <v>9937</v>
      </c>
      <c r="J22" s="107">
        <f t="shared" si="6"/>
        <v>12637</v>
      </c>
      <c r="K22" s="107">
        <f t="shared" si="6"/>
        <v>15337</v>
      </c>
      <c r="L22" s="107">
        <f t="shared" si="6"/>
        <v>9037</v>
      </c>
      <c r="M22" s="107">
        <f t="shared" si="6"/>
        <v>-14513</v>
      </c>
      <c r="N22" s="107">
        <f t="shared" si="6"/>
        <v>-12563</v>
      </c>
      <c r="O22" s="107">
        <f t="shared" si="6"/>
        <v>-17363</v>
      </c>
      <c r="P22" s="107">
        <f t="shared" si="6"/>
        <v>-15203</v>
      </c>
      <c r="Q22" s="107">
        <f t="shared" si="6"/>
        <v>-12503</v>
      </c>
      <c r="R22" s="107">
        <f t="shared" si="6"/>
        <v>-9803</v>
      </c>
      <c r="S22" s="107">
        <f t="shared" si="6"/>
        <v>-7103</v>
      </c>
      <c r="T22" s="107">
        <f t="shared" si="6"/>
        <v>-4403</v>
      </c>
      <c r="U22" s="107">
        <f t="shared" si="6"/>
        <v>-1703</v>
      </c>
      <c r="V22" s="107">
        <f t="shared" si="6"/>
        <v>-53003</v>
      </c>
      <c r="W22" s="107">
        <f t="shared" si="6"/>
        <v>-50303</v>
      </c>
      <c r="X22" s="107">
        <f t="shared" si="6"/>
        <v>-47603</v>
      </c>
      <c r="Y22" s="107">
        <f t="shared" si="6"/>
        <v>-44903</v>
      </c>
      <c r="Z22" s="107">
        <f t="shared" si="6"/>
        <v>-42203</v>
      </c>
      <c r="AA22" s="107">
        <f t="shared" si="6"/>
        <v>-39503</v>
      </c>
      <c r="AB22" s="107">
        <f t="shared" si="6"/>
        <v>-36803</v>
      </c>
      <c r="AC22" s="107">
        <f t="shared" si="6"/>
        <v>-34103</v>
      </c>
      <c r="AD22" s="107">
        <f>AC22+$C$20*2-AD20-AD21</f>
        <v>-41403</v>
      </c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</row>
    <row r="23" spans="1:107" s="27" customFormat="1" ht="13.5" thickBot="1" x14ac:dyDescent="0.25">
      <c r="A23" s="136" t="s">
        <v>15</v>
      </c>
      <c r="B23" s="153">
        <v>15006</v>
      </c>
      <c r="C23" s="133">
        <v>2750</v>
      </c>
      <c r="D23" s="103">
        <f>SUM(F23:AD23)</f>
        <v>17410</v>
      </c>
      <c r="E23" s="72" t="s">
        <v>52</v>
      </c>
      <c r="F23" s="73"/>
      <c r="G23" s="74"/>
      <c r="H23" s="73"/>
      <c r="I23" s="74">
        <f>1910</f>
        <v>1910</v>
      </c>
      <c r="J23" s="73"/>
      <c r="K23" s="75"/>
      <c r="L23" s="76"/>
      <c r="M23" s="76"/>
      <c r="N23" s="76"/>
      <c r="O23" s="76">
        <f>2000</f>
        <v>2000</v>
      </c>
      <c r="P23" s="76"/>
      <c r="Q23" s="76"/>
      <c r="R23" s="76"/>
      <c r="S23" s="76"/>
      <c r="T23" s="76"/>
      <c r="U23" s="76"/>
      <c r="V23" s="76">
        <f>4500+9000</f>
        <v>13500</v>
      </c>
      <c r="W23" s="76"/>
      <c r="X23" s="76"/>
      <c r="Y23" s="76"/>
      <c r="Z23" s="76"/>
      <c r="AA23" s="76"/>
      <c r="AB23" s="77"/>
      <c r="AC23" s="73"/>
      <c r="AD23" s="7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</row>
    <row r="24" spans="1:107" x14ac:dyDescent="0.2">
      <c r="A24" s="137"/>
      <c r="B24" s="154"/>
      <c r="C24" s="134"/>
      <c r="D24" s="25">
        <f>SUM(F24:AD24)</f>
        <v>12700</v>
      </c>
      <c r="E24" s="24" t="s">
        <v>53</v>
      </c>
      <c r="F24" s="56"/>
      <c r="G24" s="63"/>
      <c r="H24" s="56"/>
      <c r="I24" s="63"/>
      <c r="J24" s="56"/>
      <c r="K24" s="49">
        <f>7000+5700</f>
        <v>12700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5"/>
      <c r="AC24" s="56"/>
      <c r="AD24" s="56"/>
    </row>
    <row r="25" spans="1:107" s="28" customFormat="1" ht="13.5" thickBot="1" x14ac:dyDescent="0.25">
      <c r="A25" s="138"/>
      <c r="B25" s="155"/>
      <c r="C25" s="135"/>
      <c r="D25" s="119" t="s">
        <v>51</v>
      </c>
      <c r="E25" s="120"/>
      <c r="F25" s="106">
        <f>$B$23+B25-F23-F24</f>
        <v>15006</v>
      </c>
      <c r="G25" s="107">
        <f>F25+$C$23*2-G23-G24</f>
        <v>20506</v>
      </c>
      <c r="H25" s="107">
        <f t="shared" ref="H25:AC25" si="7">G25+$C$23*2-H23-H24</f>
        <v>26006</v>
      </c>
      <c r="I25" s="107">
        <f t="shared" si="7"/>
        <v>29596</v>
      </c>
      <c r="J25" s="107">
        <f t="shared" si="7"/>
        <v>35096</v>
      </c>
      <c r="K25" s="107">
        <f t="shared" si="7"/>
        <v>27896</v>
      </c>
      <c r="L25" s="107">
        <f t="shared" si="7"/>
        <v>33396</v>
      </c>
      <c r="M25" s="107">
        <f t="shared" si="7"/>
        <v>38896</v>
      </c>
      <c r="N25" s="107">
        <f t="shared" si="7"/>
        <v>44396</v>
      </c>
      <c r="O25" s="107">
        <f t="shared" si="7"/>
        <v>47896</v>
      </c>
      <c r="P25" s="107">
        <f t="shared" si="7"/>
        <v>53396</v>
      </c>
      <c r="Q25" s="107">
        <f t="shared" si="7"/>
        <v>58896</v>
      </c>
      <c r="R25" s="107">
        <f t="shared" si="7"/>
        <v>64396</v>
      </c>
      <c r="S25" s="107">
        <f t="shared" si="7"/>
        <v>69896</v>
      </c>
      <c r="T25" s="107">
        <f t="shared" si="7"/>
        <v>75396</v>
      </c>
      <c r="U25" s="107">
        <f t="shared" si="7"/>
        <v>80896</v>
      </c>
      <c r="V25" s="107">
        <f t="shared" si="7"/>
        <v>72896</v>
      </c>
      <c r="W25" s="107">
        <f t="shared" si="7"/>
        <v>78396</v>
      </c>
      <c r="X25" s="107">
        <f t="shared" si="7"/>
        <v>83896</v>
      </c>
      <c r="Y25" s="107">
        <f t="shared" si="7"/>
        <v>89396</v>
      </c>
      <c r="Z25" s="107">
        <f t="shared" si="7"/>
        <v>94896</v>
      </c>
      <c r="AA25" s="107">
        <f t="shared" si="7"/>
        <v>100396</v>
      </c>
      <c r="AB25" s="107">
        <f t="shared" si="7"/>
        <v>105896</v>
      </c>
      <c r="AC25" s="107">
        <f t="shared" si="7"/>
        <v>111396</v>
      </c>
      <c r="AD25" s="107">
        <f>AC25+$C$23*2-AD23-AD24</f>
        <v>116896</v>
      </c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</row>
    <row r="26" spans="1:107" s="27" customFormat="1" ht="13.5" thickBot="1" x14ac:dyDescent="0.25">
      <c r="A26" s="136" t="s">
        <v>34</v>
      </c>
      <c r="B26" s="17">
        <v>470</v>
      </c>
      <c r="C26" s="133">
        <v>75</v>
      </c>
      <c r="D26" s="103">
        <f>SUM(F26:AD26)</f>
        <v>3000</v>
      </c>
      <c r="E26" s="72" t="s">
        <v>52</v>
      </c>
      <c r="F26" s="73"/>
      <c r="G26" s="74">
        <f>400</f>
        <v>400</v>
      </c>
      <c r="H26" s="73">
        <f>600</f>
        <v>600</v>
      </c>
      <c r="I26" s="74"/>
      <c r="J26" s="73"/>
      <c r="K26" s="75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>
        <f>2000</f>
        <v>2000</v>
      </c>
      <c r="W26" s="76"/>
      <c r="X26" s="76"/>
      <c r="Y26" s="76"/>
      <c r="Z26" s="76"/>
      <c r="AA26" s="76"/>
      <c r="AB26" s="77"/>
      <c r="AC26" s="73"/>
      <c r="AD26" s="73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</row>
    <row r="27" spans="1:107" x14ac:dyDescent="0.2">
      <c r="A27" s="137"/>
      <c r="B27" s="8"/>
      <c r="C27" s="134"/>
      <c r="D27" s="25">
        <f>SUM(F27:AD27)</f>
        <v>0</v>
      </c>
      <c r="E27" s="24" t="s">
        <v>53</v>
      </c>
      <c r="F27" s="56"/>
      <c r="G27" s="63"/>
      <c r="H27" s="56"/>
      <c r="I27" s="63"/>
      <c r="J27" s="56"/>
      <c r="K27" s="49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5"/>
      <c r="AC27" s="56"/>
      <c r="AD27" s="56"/>
    </row>
    <row r="28" spans="1:107" s="28" customFormat="1" ht="13.5" thickBot="1" x14ac:dyDescent="0.25">
      <c r="A28" s="138"/>
      <c r="B28" s="11">
        <v>548</v>
      </c>
      <c r="C28" s="135"/>
      <c r="D28" s="119" t="s">
        <v>51</v>
      </c>
      <c r="E28" s="120"/>
      <c r="F28" s="106">
        <f>$B$26+B28-F26-F27</f>
        <v>1018</v>
      </c>
      <c r="G28" s="107">
        <f>F28+$C$26*2-G26-G27</f>
        <v>768</v>
      </c>
      <c r="H28" s="107">
        <f t="shared" ref="H28:AC28" si="8">G28+$C$26*2-H26-H27</f>
        <v>318</v>
      </c>
      <c r="I28" s="107">
        <f t="shared" si="8"/>
        <v>468</v>
      </c>
      <c r="J28" s="107">
        <f t="shared" si="8"/>
        <v>618</v>
      </c>
      <c r="K28" s="107">
        <f t="shared" si="8"/>
        <v>768</v>
      </c>
      <c r="L28" s="107">
        <f t="shared" si="8"/>
        <v>918</v>
      </c>
      <c r="M28" s="107">
        <f t="shared" si="8"/>
        <v>1068</v>
      </c>
      <c r="N28" s="107">
        <f t="shared" si="8"/>
        <v>1218</v>
      </c>
      <c r="O28" s="107">
        <f t="shared" si="8"/>
        <v>1368</v>
      </c>
      <c r="P28" s="107">
        <f t="shared" si="8"/>
        <v>1518</v>
      </c>
      <c r="Q28" s="107">
        <f t="shared" si="8"/>
        <v>1668</v>
      </c>
      <c r="R28" s="107">
        <f t="shared" si="8"/>
        <v>1818</v>
      </c>
      <c r="S28" s="107">
        <f t="shared" si="8"/>
        <v>1968</v>
      </c>
      <c r="T28" s="107">
        <f t="shared" si="8"/>
        <v>2118</v>
      </c>
      <c r="U28" s="107">
        <f t="shared" si="8"/>
        <v>2268</v>
      </c>
      <c r="V28" s="107">
        <f t="shared" si="8"/>
        <v>418</v>
      </c>
      <c r="W28" s="107">
        <f t="shared" si="8"/>
        <v>568</v>
      </c>
      <c r="X28" s="107">
        <f t="shared" si="8"/>
        <v>718</v>
      </c>
      <c r="Y28" s="107">
        <f t="shared" si="8"/>
        <v>868</v>
      </c>
      <c r="Z28" s="107">
        <f t="shared" si="8"/>
        <v>1018</v>
      </c>
      <c r="AA28" s="107">
        <f t="shared" si="8"/>
        <v>1168</v>
      </c>
      <c r="AB28" s="107">
        <f t="shared" si="8"/>
        <v>1318</v>
      </c>
      <c r="AC28" s="107">
        <f t="shared" si="8"/>
        <v>1468</v>
      </c>
      <c r="AD28" s="107">
        <f>AC28+$C$26*2-AD26-AD27</f>
        <v>1618</v>
      </c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</row>
    <row r="29" spans="1:107" s="27" customFormat="1" ht="13.5" thickBot="1" x14ac:dyDescent="0.25">
      <c r="A29" s="136" t="s">
        <v>35</v>
      </c>
      <c r="B29" s="17">
        <v>800</v>
      </c>
      <c r="C29" s="133">
        <v>250</v>
      </c>
      <c r="D29" s="103">
        <f>SUM(F29:AD29)</f>
        <v>12400</v>
      </c>
      <c r="E29" s="72" t="s">
        <v>52</v>
      </c>
      <c r="F29" s="73"/>
      <c r="G29" s="74">
        <f>200</f>
        <v>200</v>
      </c>
      <c r="H29" s="73">
        <f>2400</f>
        <v>2400</v>
      </c>
      <c r="I29" s="74"/>
      <c r="J29" s="73">
        <f>1600</f>
        <v>1600</v>
      </c>
      <c r="K29" s="75"/>
      <c r="L29" s="76"/>
      <c r="M29" s="76">
        <f>4000+2000</f>
        <v>6000</v>
      </c>
      <c r="N29" s="76">
        <f>600</f>
        <v>600</v>
      </c>
      <c r="O29" s="76"/>
      <c r="P29" s="76"/>
      <c r="Q29" s="76"/>
      <c r="R29" s="76"/>
      <c r="S29" s="76"/>
      <c r="T29" s="76"/>
      <c r="U29" s="76"/>
      <c r="V29" s="76">
        <f>1200+400</f>
        <v>1600</v>
      </c>
      <c r="W29" s="76"/>
      <c r="X29" s="76"/>
      <c r="Y29" s="76"/>
      <c r="Z29" s="76"/>
      <c r="AA29" s="76"/>
      <c r="AB29" s="77"/>
      <c r="AC29" s="73"/>
      <c r="AD29" s="73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</row>
    <row r="30" spans="1:107" x14ac:dyDescent="0.2">
      <c r="A30" s="137"/>
      <c r="B30" s="8"/>
      <c r="C30" s="134"/>
      <c r="D30" s="25">
        <f>SUM(F30:AD30)</f>
        <v>0</v>
      </c>
      <c r="E30" s="24" t="s">
        <v>53</v>
      </c>
      <c r="F30" s="56"/>
      <c r="G30" s="63"/>
      <c r="H30" s="56"/>
      <c r="I30" s="63"/>
      <c r="J30" s="56"/>
      <c r="K30" s="49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5"/>
      <c r="AC30" s="56"/>
      <c r="AD30" s="56"/>
    </row>
    <row r="31" spans="1:107" s="28" customFormat="1" ht="13.5" thickBot="1" x14ac:dyDescent="0.25">
      <c r="A31" s="138"/>
      <c r="B31" s="11">
        <v>890</v>
      </c>
      <c r="C31" s="135"/>
      <c r="D31" s="119" t="s">
        <v>51</v>
      </c>
      <c r="E31" s="120"/>
      <c r="F31" s="106">
        <f>B29+B31-F29-F30</f>
        <v>1690</v>
      </c>
      <c r="G31" s="107">
        <f>F31+$C$29*2-G29-G30</f>
        <v>1990</v>
      </c>
      <c r="H31" s="107">
        <f t="shared" ref="H31:AC31" si="9">G31+$C$29*2-H29-H30</f>
        <v>90</v>
      </c>
      <c r="I31" s="107">
        <f t="shared" si="9"/>
        <v>590</v>
      </c>
      <c r="J31" s="107">
        <f t="shared" si="9"/>
        <v>-510</v>
      </c>
      <c r="K31" s="107">
        <f t="shared" si="9"/>
        <v>-10</v>
      </c>
      <c r="L31" s="107">
        <f t="shared" si="9"/>
        <v>490</v>
      </c>
      <c r="M31" s="107">
        <f t="shared" si="9"/>
        <v>-5010</v>
      </c>
      <c r="N31" s="107">
        <f t="shared" si="9"/>
        <v>-5110</v>
      </c>
      <c r="O31" s="107">
        <f t="shared" si="9"/>
        <v>-4610</v>
      </c>
      <c r="P31" s="107">
        <f t="shared" si="9"/>
        <v>-4110</v>
      </c>
      <c r="Q31" s="107">
        <f t="shared" si="9"/>
        <v>-3610</v>
      </c>
      <c r="R31" s="107">
        <f t="shared" si="9"/>
        <v>-3110</v>
      </c>
      <c r="S31" s="107">
        <f t="shared" si="9"/>
        <v>-2610</v>
      </c>
      <c r="T31" s="107">
        <f t="shared" si="9"/>
        <v>-2110</v>
      </c>
      <c r="U31" s="107">
        <f t="shared" si="9"/>
        <v>-1610</v>
      </c>
      <c r="V31" s="107">
        <f t="shared" si="9"/>
        <v>-2710</v>
      </c>
      <c r="W31" s="107">
        <f t="shared" si="9"/>
        <v>-2210</v>
      </c>
      <c r="X31" s="107">
        <f t="shared" si="9"/>
        <v>-1710</v>
      </c>
      <c r="Y31" s="107">
        <f t="shared" si="9"/>
        <v>-1210</v>
      </c>
      <c r="Z31" s="107">
        <f t="shared" si="9"/>
        <v>-710</v>
      </c>
      <c r="AA31" s="107">
        <f t="shared" si="9"/>
        <v>-210</v>
      </c>
      <c r="AB31" s="107">
        <f t="shared" si="9"/>
        <v>290</v>
      </c>
      <c r="AC31" s="107">
        <f t="shared" si="9"/>
        <v>790</v>
      </c>
      <c r="AD31" s="107">
        <f>AC31+$C$29*2-AD29-AD30</f>
        <v>1290</v>
      </c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</row>
    <row r="32" spans="1:107" s="27" customFormat="1" ht="13.5" thickBot="1" x14ac:dyDescent="0.25">
      <c r="A32" s="136" t="s">
        <v>41</v>
      </c>
      <c r="B32" s="18">
        <v>900</v>
      </c>
      <c r="C32" s="133">
        <v>0</v>
      </c>
      <c r="D32" s="103">
        <f>SUM(F32:AD32)</f>
        <v>2400</v>
      </c>
      <c r="E32" s="72" t="s">
        <v>52</v>
      </c>
      <c r="F32" s="73"/>
      <c r="G32" s="74"/>
      <c r="H32" s="73">
        <f>400</f>
        <v>400</v>
      </c>
      <c r="I32" s="74"/>
      <c r="J32" s="73"/>
      <c r="K32" s="75"/>
      <c r="L32" s="76"/>
      <c r="M32" s="76"/>
      <c r="N32" s="76">
        <f>200</f>
        <v>200</v>
      </c>
      <c r="O32" s="76">
        <f>200</f>
        <v>200</v>
      </c>
      <c r="P32" s="76">
        <f>600</f>
        <v>600</v>
      </c>
      <c r="Q32" s="76"/>
      <c r="R32" s="76"/>
      <c r="S32" s="76"/>
      <c r="T32" s="76"/>
      <c r="U32" s="76"/>
      <c r="V32" s="76">
        <f>1000</f>
        <v>1000</v>
      </c>
      <c r="W32" s="76"/>
      <c r="X32" s="76"/>
      <c r="Y32" s="76"/>
      <c r="Z32" s="76"/>
      <c r="AA32" s="76"/>
      <c r="AB32" s="77"/>
      <c r="AC32" s="73"/>
      <c r="AD32" s="73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</row>
    <row r="33" spans="1:107" x14ac:dyDescent="0.2">
      <c r="A33" s="137"/>
      <c r="B33" s="7"/>
      <c r="C33" s="134"/>
      <c r="D33" s="25">
        <f>SUM(F33:AD33)</f>
        <v>0</v>
      </c>
      <c r="E33" s="24" t="s">
        <v>53</v>
      </c>
      <c r="F33" s="56"/>
      <c r="G33" s="63"/>
      <c r="H33" s="56"/>
      <c r="I33" s="63"/>
      <c r="J33" s="56"/>
      <c r="K33" s="49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5"/>
      <c r="AC33" s="56"/>
      <c r="AD33" s="56"/>
    </row>
    <row r="34" spans="1:107" s="28" customFormat="1" ht="13.5" thickBot="1" x14ac:dyDescent="0.25">
      <c r="A34" s="138"/>
      <c r="B34" s="11">
        <v>0</v>
      </c>
      <c r="C34" s="135"/>
      <c r="D34" s="119" t="s">
        <v>51</v>
      </c>
      <c r="E34" s="120"/>
      <c r="F34" s="106">
        <f>B32+B34-F32-F33</f>
        <v>900</v>
      </c>
      <c r="G34" s="107">
        <f>F34+$C$32*2-G32-G33</f>
        <v>900</v>
      </c>
      <c r="H34" s="107">
        <f t="shared" ref="H34:AC34" si="10">G34+$C$32*2-H32-H33</f>
        <v>500</v>
      </c>
      <c r="I34" s="107">
        <f t="shared" si="10"/>
        <v>500</v>
      </c>
      <c r="J34" s="107">
        <f t="shared" si="10"/>
        <v>500</v>
      </c>
      <c r="K34" s="107">
        <f t="shared" si="10"/>
        <v>500</v>
      </c>
      <c r="L34" s="107">
        <f t="shared" si="10"/>
        <v>500</v>
      </c>
      <c r="M34" s="107">
        <f t="shared" si="10"/>
        <v>500</v>
      </c>
      <c r="N34" s="107">
        <f t="shared" si="10"/>
        <v>300</v>
      </c>
      <c r="O34" s="107">
        <f t="shared" si="10"/>
        <v>100</v>
      </c>
      <c r="P34" s="107">
        <f t="shared" si="10"/>
        <v>-500</v>
      </c>
      <c r="Q34" s="107">
        <f t="shared" si="10"/>
        <v>-500</v>
      </c>
      <c r="R34" s="107">
        <f t="shared" si="10"/>
        <v>-500</v>
      </c>
      <c r="S34" s="107">
        <f t="shared" si="10"/>
        <v>-500</v>
      </c>
      <c r="T34" s="107">
        <f t="shared" si="10"/>
        <v>-500</v>
      </c>
      <c r="U34" s="107">
        <f t="shared" si="10"/>
        <v>-500</v>
      </c>
      <c r="V34" s="107">
        <f t="shared" si="10"/>
        <v>-1500</v>
      </c>
      <c r="W34" s="107">
        <f t="shared" si="10"/>
        <v>-1500</v>
      </c>
      <c r="X34" s="107">
        <f t="shared" si="10"/>
        <v>-1500</v>
      </c>
      <c r="Y34" s="107">
        <f t="shared" si="10"/>
        <v>-1500</v>
      </c>
      <c r="Z34" s="107">
        <f t="shared" si="10"/>
        <v>-1500</v>
      </c>
      <c r="AA34" s="107">
        <f t="shared" si="10"/>
        <v>-1500</v>
      </c>
      <c r="AB34" s="107">
        <f t="shared" si="10"/>
        <v>-1500</v>
      </c>
      <c r="AC34" s="107">
        <f t="shared" si="10"/>
        <v>-1500</v>
      </c>
      <c r="AD34" s="107">
        <f>AC34+$C$32*2-AD32-AD33</f>
        <v>-1500</v>
      </c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</row>
    <row r="35" spans="1:107" s="27" customFormat="1" ht="13.5" thickBot="1" x14ac:dyDescent="0.25">
      <c r="A35" s="136" t="s">
        <v>36</v>
      </c>
      <c r="B35" s="18">
        <v>200</v>
      </c>
      <c r="C35" s="133">
        <v>75</v>
      </c>
      <c r="D35" s="103">
        <f>SUM(F35:AD35)</f>
        <v>1400</v>
      </c>
      <c r="E35" s="72" t="s">
        <v>52</v>
      </c>
      <c r="F35" s="73"/>
      <c r="G35" s="74">
        <f>200</f>
        <v>200</v>
      </c>
      <c r="H35" s="73"/>
      <c r="I35" s="74"/>
      <c r="J35" s="73"/>
      <c r="K35" s="75"/>
      <c r="L35" s="76"/>
      <c r="M35" s="76"/>
      <c r="N35" s="76"/>
      <c r="O35" s="76">
        <f>200</f>
        <v>200</v>
      </c>
      <c r="P35" s="76"/>
      <c r="Q35" s="76"/>
      <c r="R35" s="76"/>
      <c r="S35" s="76"/>
      <c r="T35" s="76"/>
      <c r="U35" s="76"/>
      <c r="V35" s="76">
        <f>600+400</f>
        <v>1000</v>
      </c>
      <c r="W35" s="76"/>
      <c r="X35" s="76"/>
      <c r="Y35" s="76"/>
      <c r="Z35" s="76"/>
      <c r="AA35" s="76"/>
      <c r="AB35" s="77"/>
      <c r="AC35" s="73"/>
      <c r="AD35" s="73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</row>
    <row r="36" spans="1:107" x14ac:dyDescent="0.2">
      <c r="A36" s="137"/>
      <c r="B36" s="7"/>
      <c r="C36" s="134"/>
      <c r="D36" s="25">
        <f>SUM(F36:AD36)</f>
        <v>0</v>
      </c>
      <c r="E36" s="24" t="s">
        <v>53</v>
      </c>
      <c r="F36" s="56"/>
      <c r="G36" s="63"/>
      <c r="H36" s="56"/>
      <c r="I36" s="63"/>
      <c r="J36" s="56"/>
      <c r="K36" s="49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5"/>
      <c r="AC36" s="56"/>
      <c r="AD36" s="56"/>
    </row>
    <row r="37" spans="1:107" s="28" customFormat="1" ht="13.5" thickBot="1" x14ac:dyDescent="0.25">
      <c r="A37" s="138"/>
      <c r="B37" s="11">
        <v>110</v>
      </c>
      <c r="C37" s="135"/>
      <c r="D37" s="119" t="s">
        <v>51</v>
      </c>
      <c r="E37" s="120"/>
      <c r="F37" s="106">
        <f>$B$35+B37-F35-F36</f>
        <v>310</v>
      </c>
      <c r="G37" s="107">
        <f>F37+$C$35*2-G35-G36</f>
        <v>260</v>
      </c>
      <c r="H37" s="107">
        <f t="shared" ref="H37:AC37" si="11">G37+$C$35*2-H35-H36</f>
        <v>410</v>
      </c>
      <c r="I37" s="107">
        <f t="shared" si="11"/>
        <v>560</v>
      </c>
      <c r="J37" s="107">
        <f t="shared" si="11"/>
        <v>710</v>
      </c>
      <c r="K37" s="107">
        <f t="shared" si="11"/>
        <v>860</v>
      </c>
      <c r="L37" s="107">
        <f t="shared" si="11"/>
        <v>1010</v>
      </c>
      <c r="M37" s="107">
        <f t="shared" si="11"/>
        <v>1160</v>
      </c>
      <c r="N37" s="107">
        <f t="shared" si="11"/>
        <v>1310</v>
      </c>
      <c r="O37" s="107">
        <f t="shared" si="11"/>
        <v>1260</v>
      </c>
      <c r="P37" s="107">
        <f t="shared" si="11"/>
        <v>1410</v>
      </c>
      <c r="Q37" s="107">
        <f t="shared" si="11"/>
        <v>1560</v>
      </c>
      <c r="R37" s="107">
        <f t="shared" si="11"/>
        <v>1710</v>
      </c>
      <c r="S37" s="107">
        <f t="shared" si="11"/>
        <v>1860</v>
      </c>
      <c r="T37" s="107">
        <f t="shared" si="11"/>
        <v>2010</v>
      </c>
      <c r="U37" s="107">
        <f t="shared" si="11"/>
        <v>2160</v>
      </c>
      <c r="V37" s="107">
        <f t="shared" si="11"/>
        <v>1310</v>
      </c>
      <c r="W37" s="107">
        <f t="shared" si="11"/>
        <v>1460</v>
      </c>
      <c r="X37" s="107">
        <f t="shared" si="11"/>
        <v>1610</v>
      </c>
      <c r="Y37" s="107">
        <f t="shared" si="11"/>
        <v>1760</v>
      </c>
      <c r="Z37" s="107">
        <f t="shared" si="11"/>
        <v>1910</v>
      </c>
      <c r="AA37" s="107">
        <f t="shared" si="11"/>
        <v>2060</v>
      </c>
      <c r="AB37" s="107">
        <f t="shared" si="11"/>
        <v>2210</v>
      </c>
      <c r="AC37" s="107">
        <f t="shared" si="11"/>
        <v>2360</v>
      </c>
      <c r="AD37" s="107">
        <f>AC37+$C$35*2-AD35-AD36</f>
        <v>2510</v>
      </c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</row>
    <row r="38" spans="1:107" s="27" customFormat="1" ht="13.5" thickBot="1" x14ac:dyDescent="0.25">
      <c r="A38" s="139" t="s">
        <v>28</v>
      </c>
      <c r="B38" s="144">
        <v>1486</v>
      </c>
      <c r="C38" s="133">
        <v>1250</v>
      </c>
      <c r="D38" s="103">
        <f>SUM(F38:AD38)</f>
        <v>46800</v>
      </c>
      <c r="E38" s="72" t="s">
        <v>52</v>
      </c>
      <c r="F38" s="73"/>
      <c r="G38" s="74">
        <f>2800</f>
        <v>2800</v>
      </c>
      <c r="H38" s="73">
        <f>3000</f>
        <v>3000</v>
      </c>
      <c r="I38" s="74"/>
      <c r="J38" s="73">
        <f>750</f>
        <v>750</v>
      </c>
      <c r="K38" s="75"/>
      <c r="L38" s="76"/>
      <c r="M38" s="76">
        <f>10000</f>
        <v>10000</v>
      </c>
      <c r="N38" s="76">
        <f>5000</f>
        <v>5000</v>
      </c>
      <c r="O38" s="76"/>
      <c r="P38" s="76">
        <f>5000</f>
        <v>5000</v>
      </c>
      <c r="Q38" s="76"/>
      <c r="R38" s="76"/>
      <c r="S38" s="76"/>
      <c r="T38" s="76"/>
      <c r="U38" s="76"/>
      <c r="V38" s="76">
        <f>7500+2750+10000</f>
        <v>20250</v>
      </c>
      <c r="W38" s="76"/>
      <c r="X38" s="76"/>
      <c r="Y38" s="76"/>
      <c r="Z38" s="76"/>
      <c r="AA38" s="76"/>
      <c r="AB38" s="77"/>
      <c r="AC38" s="73"/>
      <c r="AD38" s="73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</row>
    <row r="39" spans="1:107" x14ac:dyDescent="0.2">
      <c r="A39" s="140"/>
      <c r="B39" s="145"/>
      <c r="C39" s="134"/>
      <c r="D39" s="25">
        <f>SUM(F39:AD39)</f>
        <v>3000</v>
      </c>
      <c r="E39" s="24" t="s">
        <v>53</v>
      </c>
      <c r="F39" s="56"/>
      <c r="G39" s="63"/>
      <c r="H39" s="56"/>
      <c r="I39" s="63"/>
      <c r="J39" s="56"/>
      <c r="K39" s="49"/>
      <c r="L39" s="3">
        <f>1000+250</f>
        <v>1250</v>
      </c>
      <c r="M39" s="3"/>
      <c r="N39" s="3"/>
      <c r="O39" s="3"/>
      <c r="P39" s="3"/>
      <c r="Q39" s="3"/>
      <c r="R39" s="3"/>
      <c r="S39" s="3"/>
      <c r="T39" s="3"/>
      <c r="U39" s="3"/>
      <c r="V39" s="3">
        <f>1750</f>
        <v>1750</v>
      </c>
      <c r="W39" s="3"/>
      <c r="X39" s="3"/>
      <c r="Y39" s="3"/>
      <c r="Z39" s="3"/>
      <c r="AA39" s="3"/>
      <c r="AB39" s="5"/>
      <c r="AC39" s="56"/>
      <c r="AD39" s="56"/>
    </row>
    <row r="40" spans="1:107" s="28" customFormat="1" ht="13.5" thickBot="1" x14ac:dyDescent="0.25">
      <c r="A40" s="141"/>
      <c r="B40" s="146"/>
      <c r="C40" s="135"/>
      <c r="D40" s="119" t="s">
        <v>51</v>
      </c>
      <c r="E40" s="120"/>
      <c r="F40" s="106">
        <f>$B$38-F38-F39</f>
        <v>1486</v>
      </c>
      <c r="G40" s="107">
        <f>F40+$C$38*2-G38-G39</f>
        <v>1186</v>
      </c>
      <c r="H40" s="107">
        <f t="shared" ref="H40:AC40" si="12">G40+$C$38*2-H38-H39</f>
        <v>686</v>
      </c>
      <c r="I40" s="107">
        <f t="shared" si="12"/>
        <v>3186</v>
      </c>
      <c r="J40" s="107">
        <f t="shared" si="12"/>
        <v>4936</v>
      </c>
      <c r="K40" s="107">
        <f t="shared" si="12"/>
        <v>7436</v>
      </c>
      <c r="L40" s="107">
        <f t="shared" si="12"/>
        <v>8686</v>
      </c>
      <c r="M40" s="107">
        <f t="shared" si="12"/>
        <v>1186</v>
      </c>
      <c r="N40" s="107">
        <f t="shared" si="12"/>
        <v>-1314</v>
      </c>
      <c r="O40" s="107">
        <f t="shared" si="12"/>
        <v>1186</v>
      </c>
      <c r="P40" s="107">
        <f t="shared" si="12"/>
        <v>-1314</v>
      </c>
      <c r="Q40" s="107">
        <f t="shared" si="12"/>
        <v>1186</v>
      </c>
      <c r="R40" s="107">
        <f t="shared" si="12"/>
        <v>3686</v>
      </c>
      <c r="S40" s="107">
        <f t="shared" si="12"/>
        <v>6186</v>
      </c>
      <c r="T40" s="107">
        <f t="shared" si="12"/>
        <v>8686</v>
      </c>
      <c r="U40" s="107">
        <f t="shared" si="12"/>
        <v>11186</v>
      </c>
      <c r="V40" s="107">
        <f t="shared" si="12"/>
        <v>-8314</v>
      </c>
      <c r="W40" s="107">
        <f t="shared" si="12"/>
        <v>-5814</v>
      </c>
      <c r="X40" s="107">
        <f t="shared" si="12"/>
        <v>-3314</v>
      </c>
      <c r="Y40" s="107">
        <f t="shared" si="12"/>
        <v>-814</v>
      </c>
      <c r="Z40" s="107">
        <f t="shared" si="12"/>
        <v>1686</v>
      </c>
      <c r="AA40" s="107">
        <f t="shared" si="12"/>
        <v>4186</v>
      </c>
      <c r="AB40" s="107">
        <f t="shared" si="12"/>
        <v>6686</v>
      </c>
      <c r="AC40" s="107">
        <f t="shared" si="12"/>
        <v>9186</v>
      </c>
      <c r="AD40" s="107">
        <f>AC40+$C$38*2-AD38-AD39</f>
        <v>11686</v>
      </c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</row>
    <row r="41" spans="1:107" s="27" customFormat="1" ht="13.5" thickBot="1" x14ac:dyDescent="0.25">
      <c r="A41" s="139" t="s">
        <v>37</v>
      </c>
      <c r="B41" s="18">
        <v>0</v>
      </c>
      <c r="C41" s="133">
        <v>0</v>
      </c>
      <c r="D41" s="103">
        <f>SUM(F41:AD41)</f>
        <v>3500</v>
      </c>
      <c r="E41" s="72" t="s">
        <v>52</v>
      </c>
      <c r="F41" s="73"/>
      <c r="G41" s="74"/>
      <c r="H41" s="73">
        <f>3000</f>
        <v>3000</v>
      </c>
      <c r="I41" s="74">
        <f>500</f>
        <v>500</v>
      </c>
      <c r="J41" s="73"/>
      <c r="K41" s="75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7"/>
      <c r="AC41" s="73"/>
      <c r="AD41" s="73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</row>
    <row r="42" spans="1:107" x14ac:dyDescent="0.2">
      <c r="A42" s="140"/>
      <c r="B42" s="7"/>
      <c r="C42" s="134"/>
      <c r="D42" s="25">
        <f>SUM(F42:AD42)</f>
        <v>0</v>
      </c>
      <c r="E42" s="24" t="s">
        <v>53</v>
      </c>
      <c r="F42" s="56"/>
      <c r="G42" s="63"/>
      <c r="H42" s="56"/>
      <c r="I42" s="63"/>
      <c r="J42" s="56"/>
      <c r="K42" s="49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5"/>
      <c r="AC42" s="56"/>
      <c r="AD42" s="56"/>
    </row>
    <row r="43" spans="1:107" s="28" customFormat="1" ht="13.5" thickBot="1" x14ac:dyDescent="0.25">
      <c r="A43" s="141"/>
      <c r="B43" s="11">
        <v>1359</v>
      </c>
      <c r="C43" s="135"/>
      <c r="D43" s="119" t="s">
        <v>51</v>
      </c>
      <c r="E43" s="120"/>
      <c r="F43" s="106">
        <f>$B$41+B43-F41-F42</f>
        <v>1359</v>
      </c>
      <c r="G43" s="107">
        <f>F43+$C$41*2-G41-G42</f>
        <v>1359</v>
      </c>
      <c r="H43" s="107">
        <f t="shared" ref="H43:AB43" si="13">G43+$C$41*2-H41-H42</f>
        <v>-1641</v>
      </c>
      <c r="I43" s="107">
        <f t="shared" si="13"/>
        <v>-2141</v>
      </c>
      <c r="J43" s="107">
        <f t="shared" si="13"/>
        <v>-2141</v>
      </c>
      <c r="K43" s="107">
        <f t="shared" si="13"/>
        <v>-2141</v>
      </c>
      <c r="L43" s="107">
        <f t="shared" si="13"/>
        <v>-2141</v>
      </c>
      <c r="M43" s="107">
        <f t="shared" si="13"/>
        <v>-2141</v>
      </c>
      <c r="N43" s="107">
        <f t="shared" si="13"/>
        <v>-2141</v>
      </c>
      <c r="O43" s="107">
        <f t="shared" si="13"/>
        <v>-2141</v>
      </c>
      <c r="P43" s="107">
        <f t="shared" si="13"/>
        <v>-2141</v>
      </c>
      <c r="Q43" s="107">
        <f t="shared" si="13"/>
        <v>-2141</v>
      </c>
      <c r="R43" s="107">
        <f t="shared" si="13"/>
        <v>-2141</v>
      </c>
      <c r="S43" s="107">
        <f t="shared" si="13"/>
        <v>-2141</v>
      </c>
      <c r="T43" s="107">
        <f t="shared" si="13"/>
        <v>-2141</v>
      </c>
      <c r="U43" s="107">
        <f t="shared" si="13"/>
        <v>-2141</v>
      </c>
      <c r="V43" s="107">
        <f t="shared" si="13"/>
        <v>-2141</v>
      </c>
      <c r="W43" s="107">
        <f t="shared" si="13"/>
        <v>-2141</v>
      </c>
      <c r="X43" s="107">
        <f t="shared" si="13"/>
        <v>-2141</v>
      </c>
      <c r="Y43" s="107">
        <f t="shared" si="13"/>
        <v>-2141</v>
      </c>
      <c r="Z43" s="107">
        <f t="shared" si="13"/>
        <v>-2141</v>
      </c>
      <c r="AA43" s="107">
        <f t="shared" si="13"/>
        <v>-2141</v>
      </c>
      <c r="AB43" s="107">
        <f t="shared" si="13"/>
        <v>-2141</v>
      </c>
      <c r="AC43" s="107">
        <f>AB43+$C$41*2-AC41-AC42</f>
        <v>-2141</v>
      </c>
      <c r="AD43" s="107">
        <f>AC43+$C$41*2-AD41-AD42</f>
        <v>-2141</v>
      </c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</row>
    <row r="44" spans="1:107" s="27" customFormat="1" ht="13.5" thickBot="1" x14ac:dyDescent="0.25">
      <c r="A44" s="139" t="s">
        <v>30</v>
      </c>
      <c r="B44" s="144">
        <v>4890</v>
      </c>
      <c r="C44" s="133">
        <v>0</v>
      </c>
      <c r="D44" s="103">
        <f>SUM(F44:AD44)</f>
        <v>0</v>
      </c>
      <c r="E44" s="72" t="s">
        <v>52</v>
      </c>
      <c r="F44" s="73"/>
      <c r="G44" s="74"/>
      <c r="H44" s="73"/>
      <c r="I44" s="74"/>
      <c r="J44" s="73"/>
      <c r="K44" s="75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7"/>
      <c r="AC44" s="73"/>
      <c r="AD44" s="73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</row>
    <row r="45" spans="1:107" x14ac:dyDescent="0.2">
      <c r="A45" s="140"/>
      <c r="B45" s="145"/>
      <c r="C45" s="134"/>
      <c r="D45" s="25">
        <f>SUM(F45:AD45)</f>
        <v>45</v>
      </c>
      <c r="E45" s="24" t="s">
        <v>53</v>
      </c>
      <c r="F45" s="56"/>
      <c r="G45" s="63"/>
      <c r="H45" s="56"/>
      <c r="I45" s="63">
        <f>45</f>
        <v>45</v>
      </c>
      <c r="J45" s="56"/>
      <c r="K45" s="49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5"/>
      <c r="AC45" s="56"/>
      <c r="AD45" s="56"/>
    </row>
    <row r="46" spans="1:107" s="28" customFormat="1" ht="13.5" thickBot="1" x14ac:dyDescent="0.25">
      <c r="A46" s="141"/>
      <c r="B46" s="146"/>
      <c r="C46" s="135"/>
      <c r="D46" s="119" t="s">
        <v>51</v>
      </c>
      <c r="E46" s="120"/>
      <c r="F46" s="106">
        <f>B44-F44-F45</f>
        <v>4890</v>
      </c>
      <c r="G46" s="107">
        <f>F46+$C$44*2-G44-G45</f>
        <v>4890</v>
      </c>
      <c r="H46" s="107">
        <f t="shared" ref="H46:AC46" si="14">G46+$C$44*2-H44-H45</f>
        <v>4890</v>
      </c>
      <c r="I46" s="107">
        <f t="shared" si="14"/>
        <v>4845</v>
      </c>
      <c r="J46" s="107">
        <f t="shared" si="14"/>
        <v>4845</v>
      </c>
      <c r="K46" s="107">
        <f t="shared" si="14"/>
        <v>4845</v>
      </c>
      <c r="L46" s="107">
        <f t="shared" si="14"/>
        <v>4845</v>
      </c>
      <c r="M46" s="107">
        <f t="shared" si="14"/>
        <v>4845</v>
      </c>
      <c r="N46" s="107">
        <f t="shared" si="14"/>
        <v>4845</v>
      </c>
      <c r="O46" s="107">
        <f t="shared" si="14"/>
        <v>4845</v>
      </c>
      <c r="P46" s="107">
        <f t="shared" si="14"/>
        <v>4845</v>
      </c>
      <c r="Q46" s="107">
        <f t="shared" si="14"/>
        <v>4845</v>
      </c>
      <c r="R46" s="107">
        <f t="shared" si="14"/>
        <v>4845</v>
      </c>
      <c r="S46" s="107">
        <f t="shared" si="14"/>
        <v>4845</v>
      </c>
      <c r="T46" s="107">
        <f t="shared" si="14"/>
        <v>4845</v>
      </c>
      <c r="U46" s="107">
        <f t="shared" si="14"/>
        <v>4845</v>
      </c>
      <c r="V46" s="107">
        <f t="shared" si="14"/>
        <v>4845</v>
      </c>
      <c r="W46" s="107">
        <f t="shared" si="14"/>
        <v>4845</v>
      </c>
      <c r="X46" s="107">
        <f t="shared" si="14"/>
        <v>4845</v>
      </c>
      <c r="Y46" s="107">
        <f t="shared" si="14"/>
        <v>4845</v>
      </c>
      <c r="Z46" s="107">
        <f t="shared" si="14"/>
        <v>4845</v>
      </c>
      <c r="AA46" s="107">
        <f t="shared" si="14"/>
        <v>4845</v>
      </c>
      <c r="AB46" s="107">
        <f t="shared" si="14"/>
        <v>4845</v>
      </c>
      <c r="AC46" s="107">
        <f t="shared" si="14"/>
        <v>4845</v>
      </c>
      <c r="AD46" s="107">
        <f>AC46+$C$44*2-AD44-AD45</f>
        <v>4845</v>
      </c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</row>
    <row r="47" spans="1:107" s="27" customFormat="1" ht="13.5" hidden="1" thickBot="1" x14ac:dyDescent="0.25">
      <c r="A47" s="139" t="s">
        <v>44</v>
      </c>
      <c r="B47" s="144">
        <v>0</v>
      </c>
      <c r="C47" s="133">
        <v>0</v>
      </c>
      <c r="D47" s="78">
        <f>SUM(F47:AC47)</f>
        <v>0</v>
      </c>
      <c r="E47" s="72" t="s">
        <v>52</v>
      </c>
      <c r="F47" s="73"/>
      <c r="G47" s="74"/>
      <c r="H47" s="73"/>
      <c r="I47" s="74"/>
      <c r="J47" s="73"/>
      <c r="K47" s="75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3"/>
      <c r="AD47" s="73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</row>
    <row r="48" spans="1:107" ht="13.5" hidden="1" thickBot="1" x14ac:dyDescent="0.25">
      <c r="A48" s="140"/>
      <c r="B48" s="145"/>
      <c r="C48" s="134"/>
      <c r="D48" s="25">
        <f>SUM(F48:AC48)</f>
        <v>0</v>
      </c>
      <c r="E48" s="24" t="s">
        <v>53</v>
      </c>
      <c r="F48" s="56"/>
      <c r="G48" s="63"/>
      <c r="H48" s="56"/>
      <c r="I48" s="63"/>
      <c r="J48" s="56"/>
      <c r="K48" s="49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5"/>
      <c r="AC48" s="56"/>
      <c r="AD48" s="56"/>
    </row>
    <row r="49" spans="1:107" s="28" customFormat="1" ht="13.5" hidden="1" thickBot="1" x14ac:dyDescent="0.25">
      <c r="A49" s="141"/>
      <c r="B49" s="146"/>
      <c r="C49" s="135"/>
      <c r="D49" s="162" t="s">
        <v>51</v>
      </c>
      <c r="E49" s="163"/>
      <c r="F49" s="65">
        <f>$B$47-F47</f>
        <v>0</v>
      </c>
      <c r="G49" s="66">
        <f t="shared" ref="G49:N49" si="15">F49+$C$47*2-G47</f>
        <v>0</v>
      </c>
      <c r="H49" s="65">
        <f>G49+$C$47*2-H47</f>
        <v>0</v>
      </c>
      <c r="I49" s="66">
        <f t="shared" si="15"/>
        <v>0</v>
      </c>
      <c r="J49" s="65">
        <f t="shared" si="15"/>
        <v>0</v>
      </c>
      <c r="K49" s="67">
        <f t="shared" si="15"/>
        <v>0</v>
      </c>
      <c r="L49" s="68">
        <f t="shared" si="15"/>
        <v>0</v>
      </c>
      <c r="M49" s="68">
        <f t="shared" si="15"/>
        <v>0</v>
      </c>
      <c r="N49" s="68">
        <f t="shared" si="15"/>
        <v>0</v>
      </c>
      <c r="O49" s="68">
        <f t="shared" ref="O49:Z49" si="16">N49+$C$47*2-O47</f>
        <v>0</v>
      </c>
      <c r="P49" s="68">
        <f t="shared" si="16"/>
        <v>0</v>
      </c>
      <c r="Q49" s="68">
        <f t="shared" si="16"/>
        <v>0</v>
      </c>
      <c r="R49" s="68">
        <f t="shared" si="16"/>
        <v>0</v>
      </c>
      <c r="S49" s="68">
        <f t="shared" si="16"/>
        <v>0</v>
      </c>
      <c r="T49" s="68">
        <f t="shared" si="16"/>
        <v>0</v>
      </c>
      <c r="U49" s="68">
        <f t="shared" si="16"/>
        <v>0</v>
      </c>
      <c r="V49" s="68">
        <f t="shared" si="16"/>
        <v>0</v>
      </c>
      <c r="W49" s="68">
        <f t="shared" si="16"/>
        <v>0</v>
      </c>
      <c r="X49" s="68">
        <f t="shared" si="16"/>
        <v>0</v>
      </c>
      <c r="Y49" s="68">
        <f t="shared" si="16"/>
        <v>0</v>
      </c>
      <c r="Z49" s="68">
        <f t="shared" si="16"/>
        <v>0</v>
      </c>
      <c r="AA49" s="68">
        <f>Z49+$C$47*2-AA47</f>
        <v>0</v>
      </c>
      <c r="AB49" s="70">
        <f>AA49+$C$47*2-AB47</f>
        <v>0</v>
      </c>
      <c r="AC49" s="65">
        <f>AB49+$C$47*2-AC47</f>
        <v>0</v>
      </c>
      <c r="AD49" s="65">
        <f>AC49+$C$47*2-AD47</f>
        <v>0</v>
      </c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</row>
    <row r="50" spans="1:107" s="27" customFormat="1" x14ac:dyDescent="0.2">
      <c r="A50" s="142" t="s">
        <v>40</v>
      </c>
      <c r="B50" s="144">
        <v>360</v>
      </c>
      <c r="C50" s="133">
        <v>75</v>
      </c>
      <c r="D50" s="29">
        <f>SUM(F50:AD50)</f>
        <v>0</v>
      </c>
      <c r="E50" s="26" t="s">
        <v>56</v>
      </c>
      <c r="F50" s="54"/>
      <c r="G50" s="61"/>
      <c r="H50" s="54"/>
      <c r="I50" s="61"/>
      <c r="J50" s="54"/>
      <c r="K50" s="6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69"/>
      <c r="AC50" s="54"/>
      <c r="AD50" s="54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</row>
    <row r="51" spans="1:107" s="28" customFormat="1" ht="13.5" thickBot="1" x14ac:dyDescent="0.25">
      <c r="A51" s="143"/>
      <c r="B51" s="146"/>
      <c r="C51" s="135"/>
      <c r="D51" s="149" t="s">
        <v>51</v>
      </c>
      <c r="E51" s="150"/>
      <c r="F51" s="106">
        <f>$B$50-F50</f>
        <v>360</v>
      </c>
      <c r="G51" s="107">
        <f t="shared" ref="G51:Z51" si="17">F51+$C$50*2-G50</f>
        <v>510</v>
      </c>
      <c r="H51" s="106">
        <f>G51+$C$50*2-H50</f>
        <v>660</v>
      </c>
      <c r="I51" s="107">
        <f t="shared" si="17"/>
        <v>810</v>
      </c>
      <c r="J51" s="106">
        <f t="shared" si="17"/>
        <v>960</v>
      </c>
      <c r="K51" s="108">
        <f t="shared" si="17"/>
        <v>1110</v>
      </c>
      <c r="L51" s="109">
        <f t="shared" si="17"/>
        <v>1260</v>
      </c>
      <c r="M51" s="109">
        <f t="shared" si="17"/>
        <v>1410</v>
      </c>
      <c r="N51" s="109">
        <f t="shared" si="17"/>
        <v>1560</v>
      </c>
      <c r="O51" s="109">
        <f t="shared" si="17"/>
        <v>1710</v>
      </c>
      <c r="P51" s="109">
        <f t="shared" si="17"/>
        <v>1860</v>
      </c>
      <c r="Q51" s="109">
        <f t="shared" si="17"/>
        <v>2010</v>
      </c>
      <c r="R51" s="109">
        <f t="shared" si="17"/>
        <v>2160</v>
      </c>
      <c r="S51" s="109">
        <f t="shared" si="17"/>
        <v>2310</v>
      </c>
      <c r="T51" s="109">
        <f t="shared" si="17"/>
        <v>2460</v>
      </c>
      <c r="U51" s="109">
        <f t="shared" si="17"/>
        <v>2610</v>
      </c>
      <c r="V51" s="110">
        <f t="shared" si="17"/>
        <v>2760</v>
      </c>
      <c r="W51" s="109">
        <f t="shared" si="17"/>
        <v>2910</v>
      </c>
      <c r="X51" s="109">
        <f t="shared" si="17"/>
        <v>3060</v>
      </c>
      <c r="Y51" s="109">
        <f t="shared" si="17"/>
        <v>3210</v>
      </c>
      <c r="Z51" s="109">
        <f t="shared" si="17"/>
        <v>3360</v>
      </c>
      <c r="AA51" s="109">
        <f>Z51+$C$50*2-AA50</f>
        <v>3510</v>
      </c>
      <c r="AB51" s="111">
        <f>AA51+$C$50*2-AB50</f>
        <v>3660</v>
      </c>
      <c r="AC51" s="106">
        <f>AB51+$C$50*2-AC50</f>
        <v>3810</v>
      </c>
      <c r="AD51" s="106">
        <f>AC51+$C$50*2-AD50</f>
        <v>3960</v>
      </c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</row>
    <row r="52" spans="1:107" s="27" customFormat="1" ht="13.5" thickBot="1" x14ac:dyDescent="0.25">
      <c r="A52" s="139" t="s">
        <v>45</v>
      </c>
      <c r="B52" s="144">
        <v>155</v>
      </c>
      <c r="C52" s="133">
        <v>0</v>
      </c>
      <c r="D52" s="103">
        <f>SUM(F52:AD52)</f>
        <v>1300</v>
      </c>
      <c r="E52" s="72" t="s">
        <v>52</v>
      </c>
      <c r="F52" s="73"/>
      <c r="G52" s="74"/>
      <c r="H52" s="73"/>
      <c r="I52" s="74"/>
      <c r="J52" s="73"/>
      <c r="K52" s="75"/>
      <c r="L52" s="76">
        <f>500</f>
        <v>500</v>
      </c>
      <c r="M52" s="76"/>
      <c r="N52" s="76"/>
      <c r="O52" s="76">
        <f>800</f>
        <v>800</v>
      </c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7"/>
      <c r="AC52" s="73"/>
      <c r="AD52" s="73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</row>
    <row r="53" spans="1:107" x14ac:dyDescent="0.2">
      <c r="A53" s="140"/>
      <c r="B53" s="145"/>
      <c r="C53" s="134"/>
      <c r="D53" s="25">
        <f>SUM(F53:AD53)</f>
        <v>0</v>
      </c>
      <c r="E53" s="24" t="s">
        <v>53</v>
      </c>
      <c r="F53" s="56"/>
      <c r="G53" s="63"/>
      <c r="H53" s="56"/>
      <c r="I53" s="63"/>
      <c r="J53" s="56"/>
      <c r="K53" s="49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5"/>
      <c r="AC53" s="56"/>
      <c r="AD53" s="56"/>
    </row>
    <row r="54" spans="1:107" s="28" customFormat="1" ht="13.5" thickBot="1" x14ac:dyDescent="0.25">
      <c r="A54" s="141"/>
      <c r="B54" s="146"/>
      <c r="C54" s="135"/>
      <c r="D54" s="119" t="s">
        <v>51</v>
      </c>
      <c r="E54" s="120"/>
      <c r="F54" s="106">
        <f>$B$52-F52-F53</f>
        <v>155</v>
      </c>
      <c r="G54" s="107">
        <f>F54+$C$52*2-G52-G53</f>
        <v>155</v>
      </c>
      <c r="H54" s="107">
        <f t="shared" ref="H54:AC54" si="18">G54+$C$52*2-H52-H53</f>
        <v>155</v>
      </c>
      <c r="I54" s="107">
        <f t="shared" si="18"/>
        <v>155</v>
      </c>
      <c r="J54" s="107">
        <f t="shared" si="18"/>
        <v>155</v>
      </c>
      <c r="K54" s="107">
        <f t="shared" si="18"/>
        <v>155</v>
      </c>
      <c r="L54" s="107">
        <f t="shared" si="18"/>
        <v>-345</v>
      </c>
      <c r="M54" s="107">
        <f t="shared" si="18"/>
        <v>-345</v>
      </c>
      <c r="N54" s="107">
        <f t="shared" si="18"/>
        <v>-345</v>
      </c>
      <c r="O54" s="107">
        <f t="shared" si="18"/>
        <v>-1145</v>
      </c>
      <c r="P54" s="107">
        <f t="shared" si="18"/>
        <v>-1145</v>
      </c>
      <c r="Q54" s="107">
        <f t="shared" si="18"/>
        <v>-1145</v>
      </c>
      <c r="R54" s="107">
        <f t="shared" si="18"/>
        <v>-1145</v>
      </c>
      <c r="S54" s="107">
        <f t="shared" si="18"/>
        <v>-1145</v>
      </c>
      <c r="T54" s="107">
        <f t="shared" si="18"/>
        <v>-1145</v>
      </c>
      <c r="U54" s="107">
        <f t="shared" si="18"/>
        <v>-1145</v>
      </c>
      <c r="V54" s="107">
        <f t="shared" si="18"/>
        <v>-1145</v>
      </c>
      <c r="W54" s="107">
        <f t="shared" si="18"/>
        <v>-1145</v>
      </c>
      <c r="X54" s="107">
        <f t="shared" si="18"/>
        <v>-1145</v>
      </c>
      <c r="Y54" s="107">
        <f t="shared" si="18"/>
        <v>-1145</v>
      </c>
      <c r="Z54" s="107">
        <f t="shared" si="18"/>
        <v>-1145</v>
      </c>
      <c r="AA54" s="107">
        <f t="shared" si="18"/>
        <v>-1145</v>
      </c>
      <c r="AB54" s="107">
        <f t="shared" si="18"/>
        <v>-1145</v>
      </c>
      <c r="AC54" s="107">
        <f t="shared" si="18"/>
        <v>-1145</v>
      </c>
      <c r="AD54" s="107">
        <f>AC54+$C$52*2-AD52-AD53</f>
        <v>-1145</v>
      </c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</row>
    <row r="55" spans="1:107" s="27" customFormat="1" ht="13.5" thickBot="1" x14ac:dyDescent="0.25">
      <c r="A55" s="139" t="s">
        <v>46</v>
      </c>
      <c r="B55" s="144">
        <v>2805</v>
      </c>
      <c r="C55" s="133">
        <v>400</v>
      </c>
      <c r="D55" s="103">
        <f>SUM(F55:AD55)</f>
        <v>700</v>
      </c>
      <c r="E55" s="72" t="s">
        <v>52</v>
      </c>
      <c r="F55" s="73"/>
      <c r="G55" s="74"/>
      <c r="H55" s="73"/>
      <c r="I55" s="74"/>
      <c r="J55" s="73"/>
      <c r="K55" s="75"/>
      <c r="L55" s="76">
        <f>500</f>
        <v>500</v>
      </c>
      <c r="M55" s="76"/>
      <c r="N55" s="76"/>
      <c r="O55" s="76">
        <f>200</f>
        <v>200</v>
      </c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7"/>
      <c r="AC55" s="73"/>
      <c r="AD55" s="73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</row>
    <row r="56" spans="1:107" x14ac:dyDescent="0.2">
      <c r="A56" s="140"/>
      <c r="B56" s="145"/>
      <c r="C56" s="134"/>
      <c r="D56" s="25">
        <f>SUM(F56:AD56)</f>
        <v>0</v>
      </c>
      <c r="E56" s="24" t="s">
        <v>53</v>
      </c>
      <c r="F56" s="56"/>
      <c r="G56" s="63"/>
      <c r="H56" s="56"/>
      <c r="I56" s="63"/>
      <c r="J56" s="56"/>
      <c r="K56" s="49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5"/>
      <c r="AC56" s="56"/>
      <c r="AD56" s="56"/>
    </row>
    <row r="57" spans="1:107" s="28" customFormat="1" ht="13.5" thickBot="1" x14ac:dyDescent="0.25">
      <c r="A57" s="141"/>
      <c r="B57" s="146"/>
      <c r="C57" s="135"/>
      <c r="D57" s="119" t="s">
        <v>51</v>
      </c>
      <c r="E57" s="120"/>
      <c r="F57" s="106">
        <f>B55+B57-F55-F56</f>
        <v>2805</v>
      </c>
      <c r="G57" s="107">
        <f>F57+$C$55*2-G55-G56</f>
        <v>3605</v>
      </c>
      <c r="H57" s="107">
        <f t="shared" ref="H57:AC57" si="19">G57+$C$55*2-H55-H56</f>
        <v>4405</v>
      </c>
      <c r="I57" s="107">
        <f t="shared" si="19"/>
        <v>5205</v>
      </c>
      <c r="J57" s="107">
        <f t="shared" si="19"/>
        <v>6005</v>
      </c>
      <c r="K57" s="107">
        <f t="shared" si="19"/>
        <v>6805</v>
      </c>
      <c r="L57" s="107">
        <f t="shared" si="19"/>
        <v>7105</v>
      </c>
      <c r="M57" s="107">
        <f t="shared" si="19"/>
        <v>7905</v>
      </c>
      <c r="N57" s="107">
        <f t="shared" si="19"/>
        <v>8705</v>
      </c>
      <c r="O57" s="107">
        <f t="shared" si="19"/>
        <v>9305</v>
      </c>
      <c r="P57" s="107">
        <f t="shared" si="19"/>
        <v>10105</v>
      </c>
      <c r="Q57" s="107">
        <f t="shared" si="19"/>
        <v>10905</v>
      </c>
      <c r="R57" s="107">
        <f t="shared" si="19"/>
        <v>11705</v>
      </c>
      <c r="S57" s="107">
        <f t="shared" si="19"/>
        <v>12505</v>
      </c>
      <c r="T57" s="107">
        <f t="shared" si="19"/>
        <v>13305</v>
      </c>
      <c r="U57" s="107">
        <f t="shared" si="19"/>
        <v>14105</v>
      </c>
      <c r="V57" s="107">
        <f t="shared" si="19"/>
        <v>14905</v>
      </c>
      <c r="W57" s="107">
        <f t="shared" si="19"/>
        <v>15705</v>
      </c>
      <c r="X57" s="107">
        <f t="shared" si="19"/>
        <v>16505</v>
      </c>
      <c r="Y57" s="107">
        <f t="shared" si="19"/>
        <v>17305</v>
      </c>
      <c r="Z57" s="107">
        <f t="shared" si="19"/>
        <v>18105</v>
      </c>
      <c r="AA57" s="107">
        <f t="shared" si="19"/>
        <v>18905</v>
      </c>
      <c r="AB57" s="107">
        <f t="shared" si="19"/>
        <v>19705</v>
      </c>
      <c r="AC57" s="107">
        <f t="shared" si="19"/>
        <v>20505</v>
      </c>
      <c r="AD57" s="107">
        <f>AC57+$C$55*2-AD55-AD56</f>
        <v>21305</v>
      </c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</row>
    <row r="58" spans="1:107" s="27" customFormat="1" ht="13.5" thickBot="1" x14ac:dyDescent="0.25">
      <c r="A58" s="139" t="s">
        <v>29</v>
      </c>
      <c r="B58" s="144">
        <v>1237</v>
      </c>
      <c r="C58" s="133">
        <v>750</v>
      </c>
      <c r="D58" s="103">
        <f>SUM(F58:AD58)</f>
        <v>22750</v>
      </c>
      <c r="E58" s="72" t="s">
        <v>52</v>
      </c>
      <c r="F58" s="73">
        <f>1500</f>
        <v>1500</v>
      </c>
      <c r="G58" s="74">
        <f>250+500</f>
        <v>750</v>
      </c>
      <c r="H58" s="73"/>
      <c r="I58" s="74">
        <f>1250</f>
        <v>1250</v>
      </c>
      <c r="J58" s="73"/>
      <c r="K58" s="75"/>
      <c r="L58" s="76"/>
      <c r="M58" s="76">
        <f>3500+2000</f>
        <v>5500</v>
      </c>
      <c r="N58" s="76">
        <f>10250</f>
        <v>10250</v>
      </c>
      <c r="O58" s="76">
        <f>1500</f>
        <v>1500</v>
      </c>
      <c r="P58" s="76"/>
      <c r="Q58" s="76"/>
      <c r="R58" s="76"/>
      <c r="S58" s="76"/>
      <c r="T58" s="76"/>
      <c r="U58" s="76"/>
      <c r="V58" s="76">
        <f>2000</f>
        <v>2000</v>
      </c>
      <c r="W58" s="76"/>
      <c r="X58" s="76"/>
      <c r="Y58" s="76"/>
      <c r="Z58" s="76"/>
      <c r="AA58" s="76"/>
      <c r="AB58" s="77"/>
      <c r="AC58" s="73"/>
      <c r="AD58" s="73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</row>
    <row r="59" spans="1:107" x14ac:dyDescent="0.2">
      <c r="A59" s="140"/>
      <c r="B59" s="145"/>
      <c r="C59" s="134"/>
      <c r="D59" s="25">
        <f>SUM(F59:AD59)</f>
        <v>0</v>
      </c>
      <c r="E59" s="24" t="s">
        <v>53</v>
      </c>
      <c r="F59" s="56"/>
      <c r="G59" s="63"/>
      <c r="H59" s="56"/>
      <c r="I59" s="63"/>
      <c r="J59" s="56"/>
      <c r="K59" s="49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5"/>
      <c r="AC59" s="56"/>
      <c r="AD59" s="56"/>
    </row>
    <row r="60" spans="1:107" s="28" customFormat="1" ht="13.5" thickBot="1" x14ac:dyDescent="0.25">
      <c r="A60" s="141"/>
      <c r="B60" s="146"/>
      <c r="C60" s="135"/>
      <c r="D60" s="119" t="s">
        <v>51</v>
      </c>
      <c r="E60" s="120"/>
      <c r="F60" s="106">
        <f>$B$58-F58-F59</f>
        <v>-263</v>
      </c>
      <c r="G60" s="107">
        <f>F60+$C$58*2-G58-G59</f>
        <v>487</v>
      </c>
      <c r="H60" s="107">
        <f t="shared" ref="H60:AC60" si="20">G60+$C$58*2-H58-H59</f>
        <v>1987</v>
      </c>
      <c r="I60" s="107">
        <f t="shared" si="20"/>
        <v>2237</v>
      </c>
      <c r="J60" s="107">
        <f t="shared" si="20"/>
        <v>3737</v>
      </c>
      <c r="K60" s="107">
        <f t="shared" si="20"/>
        <v>5237</v>
      </c>
      <c r="L60" s="107">
        <f t="shared" si="20"/>
        <v>6737</v>
      </c>
      <c r="M60" s="107">
        <f t="shared" si="20"/>
        <v>2737</v>
      </c>
      <c r="N60" s="107">
        <f t="shared" si="20"/>
        <v>-6013</v>
      </c>
      <c r="O60" s="107">
        <f t="shared" si="20"/>
        <v>-6013</v>
      </c>
      <c r="P60" s="107">
        <f t="shared" si="20"/>
        <v>-4513</v>
      </c>
      <c r="Q60" s="107">
        <f t="shared" si="20"/>
        <v>-3013</v>
      </c>
      <c r="R60" s="107">
        <f t="shared" si="20"/>
        <v>-1513</v>
      </c>
      <c r="S60" s="107">
        <f t="shared" si="20"/>
        <v>-13</v>
      </c>
      <c r="T60" s="107">
        <f t="shared" si="20"/>
        <v>1487</v>
      </c>
      <c r="U60" s="107">
        <f t="shared" si="20"/>
        <v>2987</v>
      </c>
      <c r="V60" s="107">
        <f t="shared" si="20"/>
        <v>2487</v>
      </c>
      <c r="W60" s="107">
        <f t="shared" si="20"/>
        <v>3987</v>
      </c>
      <c r="X60" s="107">
        <f t="shared" si="20"/>
        <v>5487</v>
      </c>
      <c r="Y60" s="107">
        <f t="shared" si="20"/>
        <v>6987</v>
      </c>
      <c r="Z60" s="107">
        <f t="shared" si="20"/>
        <v>8487</v>
      </c>
      <c r="AA60" s="107">
        <f t="shared" si="20"/>
        <v>9987</v>
      </c>
      <c r="AB60" s="107">
        <f t="shared" si="20"/>
        <v>11487</v>
      </c>
      <c r="AC60" s="107">
        <f t="shared" si="20"/>
        <v>12987</v>
      </c>
      <c r="AD60" s="107">
        <f>AC60+$C$58*2-AD58-AD59</f>
        <v>14487</v>
      </c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</row>
    <row r="61" spans="1:107" s="27" customFormat="1" ht="13.5" thickBot="1" x14ac:dyDescent="0.25">
      <c r="A61" s="139" t="s">
        <v>38</v>
      </c>
      <c r="B61" s="18">
        <v>790</v>
      </c>
      <c r="C61" s="133">
        <v>0</v>
      </c>
      <c r="D61" s="103">
        <f>SUM(F61:AD61)</f>
        <v>5000</v>
      </c>
      <c r="E61" s="72" t="s">
        <v>52</v>
      </c>
      <c r="F61" s="73"/>
      <c r="G61" s="74"/>
      <c r="H61" s="73">
        <f>5000</f>
        <v>5000</v>
      </c>
      <c r="I61" s="74"/>
      <c r="J61" s="73"/>
      <c r="K61" s="75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7"/>
      <c r="AC61" s="73"/>
      <c r="AD61" s="73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</row>
    <row r="62" spans="1:107" x14ac:dyDescent="0.2">
      <c r="A62" s="177"/>
      <c r="B62" s="21"/>
      <c r="C62" s="164"/>
      <c r="D62" s="25">
        <f>SUM(F62:AD62)</f>
        <v>0</v>
      </c>
      <c r="E62" s="24" t="s">
        <v>53</v>
      </c>
      <c r="F62" s="58"/>
      <c r="G62" s="50"/>
      <c r="H62" s="58"/>
      <c r="I62" s="50"/>
      <c r="J62" s="58"/>
      <c r="K62" s="50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3"/>
      <c r="W62" s="22"/>
      <c r="X62" s="22"/>
      <c r="Y62" s="22"/>
      <c r="Z62" s="22"/>
      <c r="AA62" s="22"/>
      <c r="AB62" s="22"/>
      <c r="AC62" s="58"/>
      <c r="AD62" s="58"/>
    </row>
    <row r="63" spans="1:107" s="28" customFormat="1" ht="13.5" thickBot="1" x14ac:dyDescent="0.25">
      <c r="A63" s="141"/>
      <c r="B63" s="11">
        <v>4</v>
      </c>
      <c r="C63" s="135"/>
      <c r="D63" s="119" t="s">
        <v>51</v>
      </c>
      <c r="E63" s="120"/>
      <c r="F63" s="106">
        <f>$B$61+B63-F61-F62</f>
        <v>794</v>
      </c>
      <c r="G63" s="107">
        <f>F63+$C$61*2-G61-G62</f>
        <v>794</v>
      </c>
      <c r="H63" s="107">
        <f t="shared" ref="H63:AC63" si="21">G63+$C$61*2-H61-H62</f>
        <v>-4206</v>
      </c>
      <c r="I63" s="107">
        <f t="shared" si="21"/>
        <v>-4206</v>
      </c>
      <c r="J63" s="107">
        <f t="shared" si="21"/>
        <v>-4206</v>
      </c>
      <c r="K63" s="107">
        <f t="shared" si="21"/>
        <v>-4206</v>
      </c>
      <c r="L63" s="107">
        <f t="shared" si="21"/>
        <v>-4206</v>
      </c>
      <c r="M63" s="107">
        <f t="shared" si="21"/>
        <v>-4206</v>
      </c>
      <c r="N63" s="107">
        <f t="shared" si="21"/>
        <v>-4206</v>
      </c>
      <c r="O63" s="107">
        <f t="shared" si="21"/>
        <v>-4206</v>
      </c>
      <c r="P63" s="107">
        <f t="shared" si="21"/>
        <v>-4206</v>
      </c>
      <c r="Q63" s="107">
        <f t="shared" si="21"/>
        <v>-4206</v>
      </c>
      <c r="R63" s="107">
        <f t="shared" si="21"/>
        <v>-4206</v>
      </c>
      <c r="S63" s="107">
        <f t="shared" si="21"/>
        <v>-4206</v>
      </c>
      <c r="T63" s="107">
        <f t="shared" si="21"/>
        <v>-4206</v>
      </c>
      <c r="U63" s="107">
        <f t="shared" si="21"/>
        <v>-4206</v>
      </c>
      <c r="V63" s="107">
        <f t="shared" si="21"/>
        <v>-4206</v>
      </c>
      <c r="W63" s="107">
        <f t="shared" si="21"/>
        <v>-4206</v>
      </c>
      <c r="X63" s="107">
        <f t="shared" si="21"/>
        <v>-4206</v>
      </c>
      <c r="Y63" s="107">
        <f t="shared" si="21"/>
        <v>-4206</v>
      </c>
      <c r="Z63" s="107">
        <f t="shared" si="21"/>
        <v>-4206</v>
      </c>
      <c r="AA63" s="107">
        <f t="shared" si="21"/>
        <v>-4206</v>
      </c>
      <c r="AB63" s="107">
        <f t="shared" si="21"/>
        <v>-4206</v>
      </c>
      <c r="AC63" s="107">
        <f t="shared" si="21"/>
        <v>-4206</v>
      </c>
      <c r="AD63" s="107">
        <f>AC63+$C$61*2-AD61-AD62</f>
        <v>-4206</v>
      </c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</row>
    <row r="64" spans="1:107" s="37" customFormat="1" ht="5.0999999999999996" customHeight="1" thickBot="1" x14ac:dyDescent="0.25">
      <c r="A64" s="30"/>
      <c r="B64" s="31"/>
      <c r="C64" s="32"/>
      <c r="D64" s="33"/>
      <c r="E64" s="34"/>
      <c r="F64" s="59"/>
      <c r="G64" s="51"/>
      <c r="H64" s="59"/>
      <c r="I64" s="51"/>
      <c r="J64" s="59"/>
      <c r="K64" s="51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6"/>
      <c r="W64" s="35"/>
      <c r="X64" s="35"/>
      <c r="Y64" s="35"/>
      <c r="Z64" s="35"/>
      <c r="AA64" s="35"/>
      <c r="AB64" s="35"/>
      <c r="AC64" s="59"/>
      <c r="AD64" s="59"/>
    </row>
    <row r="65" spans="1:107" s="27" customFormat="1" ht="13.5" thickBot="1" x14ac:dyDescent="0.25">
      <c r="A65" s="173" t="s">
        <v>3</v>
      </c>
      <c r="B65" s="165">
        <v>13325</v>
      </c>
      <c r="C65" s="133">
        <v>0</v>
      </c>
      <c r="D65" s="103">
        <f>SUM(F65:AD65)</f>
        <v>100</v>
      </c>
      <c r="E65" s="72" t="s">
        <v>52</v>
      </c>
      <c r="F65" s="73"/>
      <c r="G65" s="74"/>
      <c r="H65" s="73"/>
      <c r="I65" s="74">
        <f>100</f>
        <v>100</v>
      </c>
      <c r="J65" s="73"/>
      <c r="K65" s="75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7"/>
      <c r="AC65" s="73"/>
      <c r="AD65" s="73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</row>
    <row r="66" spans="1:107" x14ac:dyDescent="0.2">
      <c r="A66" s="174"/>
      <c r="B66" s="178"/>
      <c r="C66" s="164"/>
      <c r="D66" s="25">
        <f>SUM(F66:AD66)</f>
        <v>0</v>
      </c>
      <c r="E66" s="24" t="s">
        <v>53</v>
      </c>
      <c r="F66" s="58"/>
      <c r="G66" s="50"/>
      <c r="H66" s="58"/>
      <c r="I66" s="50"/>
      <c r="J66" s="58"/>
      <c r="K66" s="52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3"/>
      <c r="W66" s="16"/>
      <c r="X66" s="16"/>
      <c r="Y66" s="16"/>
      <c r="Z66" s="16"/>
      <c r="AA66" s="16"/>
      <c r="AB66" s="22"/>
      <c r="AC66" s="58"/>
      <c r="AD66" s="58"/>
    </row>
    <row r="67" spans="1:107" s="28" customFormat="1" ht="13.5" thickBot="1" x14ac:dyDescent="0.25">
      <c r="A67" s="175"/>
      <c r="B67" s="167"/>
      <c r="C67" s="135"/>
      <c r="D67" s="149" t="s">
        <v>51</v>
      </c>
      <c r="E67" s="150"/>
      <c r="F67" s="106">
        <f>$B$65-F65-F66</f>
        <v>13325</v>
      </c>
      <c r="G67" s="107">
        <f>F67+$C$65*2-G65-G66</f>
        <v>13325</v>
      </c>
      <c r="H67" s="107">
        <f t="shared" ref="H67:AC67" si="22">G67+$C$65*2-H65-H66</f>
        <v>13325</v>
      </c>
      <c r="I67" s="107">
        <f t="shared" si="22"/>
        <v>13225</v>
      </c>
      <c r="J67" s="107">
        <f t="shared" si="22"/>
        <v>13225</v>
      </c>
      <c r="K67" s="107">
        <f t="shared" si="22"/>
        <v>13225</v>
      </c>
      <c r="L67" s="107">
        <f t="shared" si="22"/>
        <v>13225</v>
      </c>
      <c r="M67" s="107">
        <f t="shared" si="22"/>
        <v>13225</v>
      </c>
      <c r="N67" s="107">
        <f t="shared" si="22"/>
        <v>13225</v>
      </c>
      <c r="O67" s="107">
        <f t="shared" si="22"/>
        <v>13225</v>
      </c>
      <c r="P67" s="107">
        <f t="shared" si="22"/>
        <v>13225</v>
      </c>
      <c r="Q67" s="107">
        <f t="shared" si="22"/>
        <v>13225</v>
      </c>
      <c r="R67" s="107">
        <f t="shared" si="22"/>
        <v>13225</v>
      </c>
      <c r="S67" s="107">
        <f t="shared" si="22"/>
        <v>13225</v>
      </c>
      <c r="T67" s="107">
        <f t="shared" si="22"/>
        <v>13225</v>
      </c>
      <c r="U67" s="107">
        <f t="shared" si="22"/>
        <v>13225</v>
      </c>
      <c r="V67" s="107">
        <f t="shared" si="22"/>
        <v>13225</v>
      </c>
      <c r="W67" s="107">
        <f t="shared" si="22"/>
        <v>13225</v>
      </c>
      <c r="X67" s="107">
        <f t="shared" si="22"/>
        <v>13225</v>
      </c>
      <c r="Y67" s="107">
        <f t="shared" si="22"/>
        <v>13225</v>
      </c>
      <c r="Z67" s="107">
        <f t="shared" si="22"/>
        <v>13225</v>
      </c>
      <c r="AA67" s="107">
        <f t="shared" si="22"/>
        <v>13225</v>
      </c>
      <c r="AB67" s="107">
        <f t="shared" si="22"/>
        <v>13225</v>
      </c>
      <c r="AC67" s="107">
        <f t="shared" si="22"/>
        <v>13225</v>
      </c>
      <c r="AD67" s="107">
        <f>AC67+$C$65*2-AD65-AD66</f>
        <v>13225</v>
      </c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</row>
    <row r="68" spans="1:107" s="27" customFormat="1" ht="13.5" thickBot="1" x14ac:dyDescent="0.25">
      <c r="A68" s="173" t="s">
        <v>2</v>
      </c>
      <c r="B68" s="179">
        <v>7336</v>
      </c>
      <c r="C68" s="133">
        <v>0</v>
      </c>
      <c r="D68" s="103">
        <f>SUM(F68:AD68)</f>
        <v>0</v>
      </c>
      <c r="E68" s="72" t="s">
        <v>52</v>
      </c>
      <c r="F68" s="73"/>
      <c r="G68" s="74"/>
      <c r="H68" s="73"/>
      <c r="I68" s="74"/>
      <c r="J68" s="73"/>
      <c r="K68" s="75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7"/>
      <c r="AC68" s="73"/>
      <c r="AD68" s="73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</row>
    <row r="69" spans="1:107" x14ac:dyDescent="0.2">
      <c r="A69" s="174"/>
      <c r="B69" s="180"/>
      <c r="C69" s="159"/>
      <c r="D69" s="25">
        <f>SUM(F69:AD69)</f>
        <v>0</v>
      </c>
      <c r="E69" s="24" t="s">
        <v>53</v>
      </c>
      <c r="F69" s="55"/>
      <c r="G69" s="62"/>
      <c r="H69" s="55"/>
      <c r="I69" s="62"/>
      <c r="J69" s="55"/>
      <c r="K69" s="48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2"/>
      <c r="AC69" s="55"/>
      <c r="AD69" s="55"/>
    </row>
    <row r="70" spans="1:107" s="28" customFormat="1" ht="13.5" thickBot="1" x14ac:dyDescent="0.25">
      <c r="A70" s="175"/>
      <c r="B70" s="167"/>
      <c r="C70" s="135"/>
      <c r="D70" s="119" t="s">
        <v>51</v>
      </c>
      <c r="E70" s="120"/>
      <c r="F70" s="106">
        <f>$B$68-F68-F69</f>
        <v>7336</v>
      </c>
      <c r="G70" s="107">
        <f>F70+$C$68*2-G68-G69</f>
        <v>7336</v>
      </c>
      <c r="H70" s="107">
        <f t="shared" ref="H70:AC70" si="23">G70+$C$68*2-H68-H69</f>
        <v>7336</v>
      </c>
      <c r="I70" s="107">
        <f t="shared" si="23"/>
        <v>7336</v>
      </c>
      <c r="J70" s="107">
        <f t="shared" si="23"/>
        <v>7336</v>
      </c>
      <c r="K70" s="107">
        <f t="shared" si="23"/>
        <v>7336</v>
      </c>
      <c r="L70" s="107">
        <f t="shared" si="23"/>
        <v>7336</v>
      </c>
      <c r="M70" s="107">
        <f t="shared" si="23"/>
        <v>7336</v>
      </c>
      <c r="N70" s="107">
        <f t="shared" si="23"/>
        <v>7336</v>
      </c>
      <c r="O70" s="107">
        <f t="shared" si="23"/>
        <v>7336</v>
      </c>
      <c r="P70" s="107">
        <f t="shared" si="23"/>
        <v>7336</v>
      </c>
      <c r="Q70" s="107">
        <f t="shared" si="23"/>
        <v>7336</v>
      </c>
      <c r="R70" s="107">
        <f t="shared" si="23"/>
        <v>7336</v>
      </c>
      <c r="S70" s="107">
        <f t="shared" si="23"/>
        <v>7336</v>
      </c>
      <c r="T70" s="107">
        <f t="shared" si="23"/>
        <v>7336</v>
      </c>
      <c r="U70" s="107">
        <f t="shared" si="23"/>
        <v>7336</v>
      </c>
      <c r="V70" s="107">
        <f t="shared" si="23"/>
        <v>7336</v>
      </c>
      <c r="W70" s="107">
        <f t="shared" si="23"/>
        <v>7336</v>
      </c>
      <c r="X70" s="107">
        <f t="shared" si="23"/>
        <v>7336</v>
      </c>
      <c r="Y70" s="107">
        <f t="shared" si="23"/>
        <v>7336</v>
      </c>
      <c r="Z70" s="107">
        <f t="shared" si="23"/>
        <v>7336</v>
      </c>
      <c r="AA70" s="107">
        <f t="shared" si="23"/>
        <v>7336</v>
      </c>
      <c r="AB70" s="107">
        <f t="shared" si="23"/>
        <v>7336</v>
      </c>
      <c r="AC70" s="107">
        <f t="shared" si="23"/>
        <v>7336</v>
      </c>
      <c r="AD70" s="107">
        <f>AC70+$C$68*2-AD68-AD69</f>
        <v>7336</v>
      </c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</row>
    <row r="71" spans="1:107" s="27" customFormat="1" ht="13.5" thickBot="1" x14ac:dyDescent="0.25">
      <c r="A71" s="173" t="s">
        <v>42</v>
      </c>
      <c r="B71" s="165">
        <v>9152</v>
      </c>
      <c r="C71" s="133">
        <v>0</v>
      </c>
      <c r="D71" s="103">
        <f>SUM(F71:AD71)</f>
        <v>2600</v>
      </c>
      <c r="E71" s="72" t="s">
        <v>52</v>
      </c>
      <c r="F71" s="73"/>
      <c r="G71" s="74">
        <f>500</f>
        <v>500</v>
      </c>
      <c r="H71" s="73"/>
      <c r="I71" s="74">
        <f>1000</f>
        <v>1000</v>
      </c>
      <c r="J71" s="73"/>
      <c r="K71" s="75"/>
      <c r="L71" s="76"/>
      <c r="M71" s="76"/>
      <c r="N71" s="76"/>
      <c r="O71" s="76">
        <f>500</f>
        <v>500</v>
      </c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>
        <f>600</f>
        <v>600</v>
      </c>
      <c r="AB71" s="77"/>
      <c r="AC71" s="73"/>
      <c r="AD71" s="73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</row>
    <row r="72" spans="1:107" x14ac:dyDescent="0.2">
      <c r="A72" s="174"/>
      <c r="B72" s="181"/>
      <c r="C72" s="134"/>
      <c r="D72" s="25">
        <f>SUM(F72:AD72)</f>
        <v>2000</v>
      </c>
      <c r="E72" s="24" t="s">
        <v>53</v>
      </c>
      <c r="F72" s="56"/>
      <c r="G72" s="63"/>
      <c r="H72" s="56"/>
      <c r="I72" s="63"/>
      <c r="J72" s="56"/>
      <c r="K72" s="49"/>
      <c r="L72" s="3">
        <f>2000</f>
        <v>2000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5"/>
      <c r="AC72" s="56"/>
      <c r="AD72" s="56"/>
    </row>
    <row r="73" spans="1:107" s="28" customFormat="1" ht="13.5" thickBot="1" x14ac:dyDescent="0.25">
      <c r="A73" s="175"/>
      <c r="B73" s="167"/>
      <c r="C73" s="135"/>
      <c r="D73" s="119" t="s">
        <v>51</v>
      </c>
      <c r="E73" s="120"/>
      <c r="F73" s="106">
        <f>$B$71-F71-F72</f>
        <v>9152</v>
      </c>
      <c r="G73" s="107">
        <f>F73+$C$71*2-G71-G72</f>
        <v>8652</v>
      </c>
      <c r="H73" s="107">
        <f t="shared" ref="H73:AC73" si="24">G73+$C$71*2-H71-H72</f>
        <v>8652</v>
      </c>
      <c r="I73" s="107">
        <f t="shared" si="24"/>
        <v>7652</v>
      </c>
      <c r="J73" s="107">
        <f t="shared" si="24"/>
        <v>7652</v>
      </c>
      <c r="K73" s="107">
        <f t="shared" si="24"/>
        <v>7652</v>
      </c>
      <c r="L73" s="107">
        <f t="shared" si="24"/>
        <v>5652</v>
      </c>
      <c r="M73" s="107">
        <f t="shared" si="24"/>
        <v>5652</v>
      </c>
      <c r="N73" s="107">
        <f t="shared" si="24"/>
        <v>5652</v>
      </c>
      <c r="O73" s="107">
        <f t="shared" si="24"/>
        <v>5152</v>
      </c>
      <c r="P73" s="107">
        <f t="shared" si="24"/>
        <v>5152</v>
      </c>
      <c r="Q73" s="107">
        <f t="shared" si="24"/>
        <v>5152</v>
      </c>
      <c r="R73" s="107">
        <f t="shared" si="24"/>
        <v>5152</v>
      </c>
      <c r="S73" s="107">
        <f t="shared" si="24"/>
        <v>5152</v>
      </c>
      <c r="T73" s="107">
        <f t="shared" si="24"/>
        <v>5152</v>
      </c>
      <c r="U73" s="107">
        <f t="shared" si="24"/>
        <v>5152</v>
      </c>
      <c r="V73" s="107">
        <f t="shared" si="24"/>
        <v>5152</v>
      </c>
      <c r="W73" s="107">
        <f t="shared" si="24"/>
        <v>5152</v>
      </c>
      <c r="X73" s="107">
        <f t="shared" si="24"/>
        <v>5152</v>
      </c>
      <c r="Y73" s="107">
        <f t="shared" si="24"/>
        <v>5152</v>
      </c>
      <c r="Z73" s="107">
        <f t="shared" si="24"/>
        <v>5152</v>
      </c>
      <c r="AA73" s="107">
        <f t="shared" si="24"/>
        <v>4552</v>
      </c>
      <c r="AB73" s="107">
        <f t="shared" si="24"/>
        <v>4552</v>
      </c>
      <c r="AC73" s="107">
        <f t="shared" si="24"/>
        <v>4552</v>
      </c>
      <c r="AD73" s="107">
        <f>AC73+$C$71*2-AD71-AD72</f>
        <v>4552</v>
      </c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</row>
    <row r="74" spans="1:107" s="45" customFormat="1" ht="5.0999999999999996" customHeight="1" thickBot="1" x14ac:dyDescent="0.25">
      <c r="A74" s="38"/>
      <c r="B74" s="39"/>
      <c r="C74" s="40"/>
      <c r="D74" s="41"/>
      <c r="E74" s="42"/>
      <c r="F74" s="60"/>
      <c r="G74" s="53"/>
      <c r="H74" s="60"/>
      <c r="I74" s="53"/>
      <c r="J74" s="60"/>
      <c r="K74" s="5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4"/>
      <c r="W74" s="43"/>
      <c r="X74" s="43"/>
      <c r="Y74" s="43"/>
      <c r="Z74" s="43"/>
      <c r="AA74" s="43"/>
      <c r="AB74" s="43"/>
      <c r="AC74" s="60"/>
      <c r="AD74" s="60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</row>
    <row r="75" spans="1:107" s="27" customFormat="1" ht="13.5" thickBot="1" x14ac:dyDescent="0.25">
      <c r="A75" s="182" t="s">
        <v>4</v>
      </c>
      <c r="B75" s="165">
        <v>2193</v>
      </c>
      <c r="C75" s="133">
        <v>250</v>
      </c>
      <c r="D75" s="103">
        <f>SUM(F75:AD75)</f>
        <v>6650</v>
      </c>
      <c r="E75" s="72" t="s">
        <v>52</v>
      </c>
      <c r="F75" s="73"/>
      <c r="G75" s="74"/>
      <c r="H75" s="73">
        <f>350</f>
        <v>350</v>
      </c>
      <c r="I75" s="74"/>
      <c r="J75" s="73"/>
      <c r="K75" s="75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>
        <f>1800+4500</f>
        <v>6300</v>
      </c>
      <c r="AB75" s="77"/>
      <c r="AC75" s="73"/>
      <c r="AD75" s="73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</row>
    <row r="76" spans="1:107" x14ac:dyDescent="0.2">
      <c r="A76" s="183"/>
      <c r="B76" s="178"/>
      <c r="C76" s="164"/>
      <c r="D76" s="25">
        <f>SUM(F76:AD76)</f>
        <v>900</v>
      </c>
      <c r="E76" s="24" t="s">
        <v>53</v>
      </c>
      <c r="F76" s="58"/>
      <c r="G76" s="50"/>
      <c r="H76" s="58"/>
      <c r="I76" s="50"/>
      <c r="J76" s="58"/>
      <c r="K76" s="52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3"/>
      <c r="W76" s="16"/>
      <c r="X76" s="16"/>
      <c r="Y76" s="16"/>
      <c r="Z76" s="16"/>
      <c r="AA76" s="16">
        <f>900</f>
        <v>900</v>
      </c>
      <c r="AB76" s="22"/>
      <c r="AC76" s="58"/>
      <c r="AD76" s="58"/>
    </row>
    <row r="77" spans="1:107" s="28" customFormat="1" ht="13.5" thickBot="1" x14ac:dyDescent="0.25">
      <c r="A77" s="184"/>
      <c r="B77" s="167"/>
      <c r="C77" s="135"/>
      <c r="D77" s="119" t="s">
        <v>51</v>
      </c>
      <c r="E77" s="120"/>
      <c r="F77" s="106">
        <f>$B$75-F75-F76</f>
        <v>2193</v>
      </c>
      <c r="G77" s="107">
        <f>F77+$C$75*2-G75-G76</f>
        <v>2693</v>
      </c>
      <c r="H77" s="107">
        <f t="shared" ref="H77:AC77" si="25">G77+$C$75*2-H75-H76</f>
        <v>2843</v>
      </c>
      <c r="I77" s="107">
        <f t="shared" si="25"/>
        <v>3343</v>
      </c>
      <c r="J77" s="107">
        <f t="shared" si="25"/>
        <v>3843</v>
      </c>
      <c r="K77" s="107">
        <f t="shared" si="25"/>
        <v>4343</v>
      </c>
      <c r="L77" s="107">
        <f t="shared" si="25"/>
        <v>4843</v>
      </c>
      <c r="M77" s="107">
        <f t="shared" si="25"/>
        <v>5343</v>
      </c>
      <c r="N77" s="107">
        <f t="shared" si="25"/>
        <v>5843</v>
      </c>
      <c r="O77" s="107">
        <f t="shared" si="25"/>
        <v>6343</v>
      </c>
      <c r="P77" s="107">
        <f t="shared" si="25"/>
        <v>6843</v>
      </c>
      <c r="Q77" s="107">
        <f t="shared" si="25"/>
        <v>7343</v>
      </c>
      <c r="R77" s="107">
        <f t="shared" si="25"/>
        <v>7843</v>
      </c>
      <c r="S77" s="107">
        <f t="shared" si="25"/>
        <v>8343</v>
      </c>
      <c r="T77" s="107">
        <f t="shared" si="25"/>
        <v>8843</v>
      </c>
      <c r="U77" s="107">
        <f t="shared" si="25"/>
        <v>9343</v>
      </c>
      <c r="V77" s="107">
        <f t="shared" si="25"/>
        <v>9843</v>
      </c>
      <c r="W77" s="107">
        <f t="shared" si="25"/>
        <v>10343</v>
      </c>
      <c r="X77" s="107">
        <f t="shared" si="25"/>
        <v>10843</v>
      </c>
      <c r="Y77" s="107">
        <f t="shared" si="25"/>
        <v>11343</v>
      </c>
      <c r="Z77" s="107">
        <f t="shared" si="25"/>
        <v>11843</v>
      </c>
      <c r="AA77" s="107">
        <f t="shared" si="25"/>
        <v>5143</v>
      </c>
      <c r="AB77" s="107">
        <f t="shared" si="25"/>
        <v>5643</v>
      </c>
      <c r="AC77" s="107">
        <f t="shared" si="25"/>
        <v>6143</v>
      </c>
      <c r="AD77" s="107">
        <f>AC77+$C$75*2-AD75-AD76</f>
        <v>6643</v>
      </c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</row>
    <row r="78" spans="1:107" s="27" customFormat="1" ht="13.5" thickBot="1" x14ac:dyDescent="0.25">
      <c r="A78" s="170" t="s">
        <v>47</v>
      </c>
      <c r="B78" s="165">
        <v>0</v>
      </c>
      <c r="C78" s="133">
        <v>0</v>
      </c>
      <c r="D78" s="103">
        <f>SUM(F78:AD78)</f>
        <v>30250</v>
      </c>
      <c r="E78" s="72" t="s">
        <v>52</v>
      </c>
      <c r="F78" s="73"/>
      <c r="G78" s="74"/>
      <c r="H78" s="73"/>
      <c r="I78" s="74"/>
      <c r="J78" s="73"/>
      <c r="K78" s="75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>
        <f>30250</f>
        <v>30250</v>
      </c>
      <c r="W78" s="76"/>
      <c r="X78" s="76"/>
      <c r="Y78" s="76"/>
      <c r="Z78" s="76"/>
      <c r="AA78" s="76"/>
      <c r="AB78" s="77"/>
      <c r="AC78" s="73"/>
      <c r="AD78" s="73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</row>
    <row r="79" spans="1:107" x14ac:dyDescent="0.2">
      <c r="A79" s="171"/>
      <c r="B79" s="166"/>
      <c r="C79" s="159"/>
      <c r="D79" s="25">
        <f>SUM(F79:AD79)</f>
        <v>0</v>
      </c>
      <c r="E79" s="24" t="s">
        <v>53</v>
      </c>
      <c r="F79" s="55"/>
      <c r="G79" s="62"/>
      <c r="H79" s="55"/>
      <c r="I79" s="62"/>
      <c r="J79" s="55"/>
      <c r="K79" s="48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2"/>
      <c r="AC79" s="55"/>
      <c r="AD79" s="55"/>
    </row>
    <row r="80" spans="1:107" s="28" customFormat="1" ht="13.5" thickBot="1" x14ac:dyDescent="0.25">
      <c r="A80" s="172"/>
      <c r="B80" s="167"/>
      <c r="C80" s="135"/>
      <c r="D80" s="119" t="s">
        <v>51</v>
      </c>
      <c r="E80" s="120"/>
      <c r="F80" s="106">
        <f>$B$78-F78-F79</f>
        <v>0</v>
      </c>
      <c r="G80" s="107">
        <f>F80+$C$78*2-G78-G79</f>
        <v>0</v>
      </c>
      <c r="H80" s="107">
        <f t="shared" ref="H80:AC80" si="26">G80+$C$78*2-H78-H79</f>
        <v>0</v>
      </c>
      <c r="I80" s="107">
        <f t="shared" si="26"/>
        <v>0</v>
      </c>
      <c r="J80" s="107">
        <f t="shared" si="26"/>
        <v>0</v>
      </c>
      <c r="K80" s="107">
        <f t="shared" si="26"/>
        <v>0</v>
      </c>
      <c r="L80" s="107">
        <f t="shared" si="26"/>
        <v>0</v>
      </c>
      <c r="M80" s="107">
        <f t="shared" si="26"/>
        <v>0</v>
      </c>
      <c r="N80" s="107">
        <f t="shared" si="26"/>
        <v>0</v>
      </c>
      <c r="O80" s="107">
        <f t="shared" si="26"/>
        <v>0</v>
      </c>
      <c r="P80" s="107">
        <f t="shared" si="26"/>
        <v>0</v>
      </c>
      <c r="Q80" s="107">
        <f t="shared" si="26"/>
        <v>0</v>
      </c>
      <c r="R80" s="107">
        <f t="shared" si="26"/>
        <v>0</v>
      </c>
      <c r="S80" s="107">
        <f t="shared" si="26"/>
        <v>0</v>
      </c>
      <c r="T80" s="107">
        <f t="shared" si="26"/>
        <v>0</v>
      </c>
      <c r="U80" s="107">
        <f t="shared" si="26"/>
        <v>0</v>
      </c>
      <c r="V80" s="107">
        <f t="shared" si="26"/>
        <v>-30250</v>
      </c>
      <c r="W80" s="107">
        <f t="shared" si="26"/>
        <v>-30250</v>
      </c>
      <c r="X80" s="107">
        <f t="shared" si="26"/>
        <v>-30250</v>
      </c>
      <c r="Y80" s="107">
        <f t="shared" si="26"/>
        <v>-30250</v>
      </c>
      <c r="Z80" s="107">
        <f t="shared" si="26"/>
        <v>-30250</v>
      </c>
      <c r="AA80" s="107">
        <f t="shared" si="26"/>
        <v>-30250</v>
      </c>
      <c r="AB80" s="107">
        <f t="shared" si="26"/>
        <v>-30250</v>
      </c>
      <c r="AC80" s="107">
        <f t="shared" si="26"/>
        <v>-30250</v>
      </c>
      <c r="AD80" s="107">
        <f>AC80+$C$78*2-AD78-AD79</f>
        <v>-30250</v>
      </c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</row>
    <row r="81" spans="1:107" s="27" customFormat="1" ht="13.5" thickBot="1" x14ac:dyDescent="0.25">
      <c r="A81" s="170" t="s">
        <v>5</v>
      </c>
      <c r="B81" s="165">
        <v>2197</v>
      </c>
      <c r="C81" s="133">
        <v>300</v>
      </c>
      <c r="D81" s="103">
        <f>SUM(F81:AD81)</f>
        <v>1400</v>
      </c>
      <c r="E81" s="72" t="s">
        <v>52</v>
      </c>
      <c r="F81" s="73"/>
      <c r="G81" s="74"/>
      <c r="H81" s="73">
        <f>1400</f>
        <v>1400</v>
      </c>
      <c r="I81" s="74"/>
      <c r="J81" s="73"/>
      <c r="K81" s="75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7"/>
      <c r="AC81" s="73"/>
      <c r="AD81" s="73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</row>
    <row r="82" spans="1:107" x14ac:dyDescent="0.2">
      <c r="A82" s="176"/>
      <c r="B82" s="178"/>
      <c r="C82" s="164"/>
      <c r="D82" s="25">
        <f>SUM(F82:AD82)</f>
        <v>0</v>
      </c>
      <c r="E82" s="24" t="s">
        <v>53</v>
      </c>
      <c r="F82" s="58"/>
      <c r="G82" s="50"/>
      <c r="H82" s="58"/>
      <c r="I82" s="50"/>
      <c r="J82" s="56"/>
      <c r="K82" s="49"/>
      <c r="L82" s="3"/>
      <c r="M82" s="3"/>
      <c r="N82" s="3"/>
      <c r="O82" s="3"/>
      <c r="P82" s="3"/>
      <c r="Q82" s="3"/>
      <c r="R82" s="16"/>
      <c r="S82" s="16"/>
      <c r="T82" s="16"/>
      <c r="U82" s="16"/>
      <c r="V82" s="3"/>
      <c r="W82" s="16"/>
      <c r="X82" s="16"/>
      <c r="Y82" s="16"/>
      <c r="Z82" s="16"/>
      <c r="AA82" s="16"/>
      <c r="AB82" s="22"/>
      <c r="AC82" s="58"/>
      <c r="AD82" s="58"/>
    </row>
    <row r="83" spans="1:107" s="28" customFormat="1" ht="13.5" thickBot="1" x14ac:dyDescent="0.25">
      <c r="A83" s="172"/>
      <c r="B83" s="167"/>
      <c r="C83" s="135"/>
      <c r="D83" s="119" t="s">
        <v>51</v>
      </c>
      <c r="E83" s="120"/>
      <c r="F83" s="106">
        <f>$B$81-F81-F82</f>
        <v>2197</v>
      </c>
      <c r="G83" s="107">
        <f>F83+$C$81*2-G81-G82</f>
        <v>2797</v>
      </c>
      <c r="H83" s="107">
        <f t="shared" ref="H83:AC83" si="27">G83+$C$81*2-H81-H82</f>
        <v>1997</v>
      </c>
      <c r="I83" s="107">
        <f t="shared" si="27"/>
        <v>2597</v>
      </c>
      <c r="J83" s="107">
        <f t="shared" si="27"/>
        <v>3197</v>
      </c>
      <c r="K83" s="107">
        <f t="shared" si="27"/>
        <v>3797</v>
      </c>
      <c r="L83" s="107">
        <f t="shared" si="27"/>
        <v>4397</v>
      </c>
      <c r="M83" s="107">
        <f t="shared" si="27"/>
        <v>4997</v>
      </c>
      <c r="N83" s="107">
        <f t="shared" si="27"/>
        <v>5597</v>
      </c>
      <c r="O83" s="107">
        <f t="shared" si="27"/>
        <v>6197</v>
      </c>
      <c r="P83" s="107">
        <f t="shared" si="27"/>
        <v>6797</v>
      </c>
      <c r="Q83" s="107">
        <f t="shared" si="27"/>
        <v>7397</v>
      </c>
      <c r="R83" s="107">
        <f t="shared" si="27"/>
        <v>7997</v>
      </c>
      <c r="S83" s="107">
        <f t="shared" si="27"/>
        <v>8597</v>
      </c>
      <c r="T83" s="107">
        <f t="shared" si="27"/>
        <v>9197</v>
      </c>
      <c r="U83" s="107">
        <f t="shared" si="27"/>
        <v>9797</v>
      </c>
      <c r="V83" s="107">
        <f t="shared" si="27"/>
        <v>10397</v>
      </c>
      <c r="W83" s="107">
        <f t="shared" si="27"/>
        <v>10997</v>
      </c>
      <c r="X83" s="107">
        <f t="shared" si="27"/>
        <v>11597</v>
      </c>
      <c r="Y83" s="107">
        <f t="shared" si="27"/>
        <v>12197</v>
      </c>
      <c r="Z83" s="107">
        <f t="shared" si="27"/>
        <v>12797</v>
      </c>
      <c r="AA83" s="107">
        <f t="shared" si="27"/>
        <v>13397</v>
      </c>
      <c r="AB83" s="107">
        <f t="shared" si="27"/>
        <v>13997</v>
      </c>
      <c r="AC83" s="107">
        <f t="shared" si="27"/>
        <v>14597</v>
      </c>
      <c r="AD83" s="107">
        <f>AC83+$C$81*2-AD81-AD82</f>
        <v>15197</v>
      </c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</row>
    <row r="84" spans="1:107" ht="13.5" thickBot="1" x14ac:dyDescent="0.25">
      <c r="A84" s="170" t="s">
        <v>7</v>
      </c>
      <c r="B84" s="144">
        <v>4548</v>
      </c>
      <c r="C84" s="133">
        <v>1500</v>
      </c>
      <c r="D84" s="103">
        <f>SUM(F84:AD84)</f>
        <v>79400</v>
      </c>
      <c r="E84" s="80" t="s">
        <v>52</v>
      </c>
      <c r="F84" s="81"/>
      <c r="G84" s="82">
        <f>10200</f>
        <v>10200</v>
      </c>
      <c r="H84" s="81">
        <f>1000</f>
        <v>1000</v>
      </c>
      <c r="I84" s="82">
        <f>5100+3000</f>
        <v>8100</v>
      </c>
      <c r="J84" s="81"/>
      <c r="K84" s="83"/>
      <c r="L84" s="84">
        <f>10200</f>
        <v>10200</v>
      </c>
      <c r="M84" s="84"/>
      <c r="N84" s="84">
        <f>2200</f>
        <v>2200</v>
      </c>
      <c r="O84" s="84"/>
      <c r="P84" s="84">
        <f>6500</f>
        <v>6500</v>
      </c>
      <c r="Q84" s="84"/>
      <c r="R84" s="84"/>
      <c r="S84" s="84"/>
      <c r="T84" s="84"/>
      <c r="U84" s="84"/>
      <c r="V84" s="84">
        <f>3000+8600+20400+9200</f>
        <v>41200</v>
      </c>
      <c r="W84" s="84"/>
      <c r="X84" s="84"/>
      <c r="Y84" s="84"/>
      <c r="Z84" s="84"/>
      <c r="AA84" s="84"/>
      <c r="AB84" s="85"/>
      <c r="AC84" s="81"/>
      <c r="AD84" s="81"/>
    </row>
    <row r="85" spans="1:107" x14ac:dyDescent="0.2">
      <c r="A85" s="176"/>
      <c r="B85" s="185"/>
      <c r="C85" s="159"/>
      <c r="D85" s="25">
        <f>SUM(F85:AD85)</f>
        <v>0</v>
      </c>
      <c r="E85" s="24" t="s">
        <v>53</v>
      </c>
      <c r="F85" s="55"/>
      <c r="G85" s="62"/>
      <c r="H85" s="55"/>
      <c r="I85" s="62"/>
      <c r="J85" s="55"/>
      <c r="K85" s="48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2"/>
      <c r="AC85" s="55"/>
      <c r="AD85" s="55"/>
    </row>
    <row r="86" spans="1:107" ht="13.5" thickBot="1" x14ac:dyDescent="0.25">
      <c r="A86" s="171"/>
      <c r="B86" s="145"/>
      <c r="C86" s="134"/>
      <c r="D86" s="151" t="s">
        <v>51</v>
      </c>
      <c r="E86" s="152"/>
      <c r="F86" s="112">
        <f>$B$84-F84-F85</f>
        <v>4548</v>
      </c>
      <c r="G86" s="113">
        <f>F86+$C$84*2-G84-G85</f>
        <v>-2652</v>
      </c>
      <c r="H86" s="113">
        <f t="shared" ref="H86:AC86" si="28">G86+$C$84*2-H84-H85</f>
        <v>-652</v>
      </c>
      <c r="I86" s="113">
        <f t="shared" si="28"/>
        <v>-5752</v>
      </c>
      <c r="J86" s="113">
        <f t="shared" si="28"/>
        <v>-2752</v>
      </c>
      <c r="K86" s="113">
        <f t="shared" si="28"/>
        <v>248</v>
      </c>
      <c r="L86" s="113">
        <f t="shared" si="28"/>
        <v>-6952</v>
      </c>
      <c r="M86" s="113">
        <f t="shared" si="28"/>
        <v>-3952</v>
      </c>
      <c r="N86" s="113">
        <f t="shared" si="28"/>
        <v>-3152</v>
      </c>
      <c r="O86" s="113">
        <f t="shared" si="28"/>
        <v>-152</v>
      </c>
      <c r="P86" s="113">
        <f t="shared" si="28"/>
        <v>-3652</v>
      </c>
      <c r="Q86" s="113">
        <f t="shared" si="28"/>
        <v>-652</v>
      </c>
      <c r="R86" s="113">
        <f t="shared" si="28"/>
        <v>2348</v>
      </c>
      <c r="S86" s="113">
        <f t="shared" si="28"/>
        <v>5348</v>
      </c>
      <c r="T86" s="113">
        <f t="shared" si="28"/>
        <v>8348</v>
      </c>
      <c r="U86" s="113">
        <f t="shared" si="28"/>
        <v>11348</v>
      </c>
      <c r="V86" s="113">
        <f t="shared" si="28"/>
        <v>-26852</v>
      </c>
      <c r="W86" s="113">
        <f t="shared" si="28"/>
        <v>-23852</v>
      </c>
      <c r="X86" s="113">
        <f t="shared" si="28"/>
        <v>-20852</v>
      </c>
      <c r="Y86" s="113">
        <f t="shared" si="28"/>
        <v>-17852</v>
      </c>
      <c r="Z86" s="113">
        <f t="shared" si="28"/>
        <v>-14852</v>
      </c>
      <c r="AA86" s="113">
        <f t="shared" si="28"/>
        <v>-11852</v>
      </c>
      <c r="AB86" s="113">
        <f t="shared" si="28"/>
        <v>-8852</v>
      </c>
      <c r="AC86" s="113">
        <f t="shared" si="28"/>
        <v>-5852</v>
      </c>
      <c r="AD86" s="113">
        <f>AC86+$C$84*2-AD84-AD85</f>
        <v>-2852</v>
      </c>
    </row>
    <row r="87" spans="1:107" s="27" customFormat="1" ht="13.5" thickBot="1" x14ac:dyDescent="0.25">
      <c r="A87" s="139" t="s">
        <v>50</v>
      </c>
      <c r="B87" s="144">
        <v>0</v>
      </c>
      <c r="C87" s="133">
        <v>0</v>
      </c>
      <c r="D87" s="103">
        <f>SUM(F87:AD87)</f>
        <v>10610</v>
      </c>
      <c r="E87" s="72" t="s">
        <v>52</v>
      </c>
      <c r="F87" s="73"/>
      <c r="G87" s="74"/>
      <c r="H87" s="73">
        <f>8210</f>
        <v>8210</v>
      </c>
      <c r="I87" s="74"/>
      <c r="J87" s="73"/>
      <c r="K87" s="75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>
        <f>300+2100</f>
        <v>2400</v>
      </c>
      <c r="W87" s="76"/>
      <c r="X87" s="76"/>
      <c r="Y87" s="76"/>
      <c r="Z87" s="76"/>
      <c r="AA87" s="76"/>
      <c r="AB87" s="77"/>
      <c r="AC87" s="73"/>
      <c r="AD87" s="73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</row>
    <row r="88" spans="1:107" x14ac:dyDescent="0.2">
      <c r="A88" s="140"/>
      <c r="B88" s="145"/>
      <c r="C88" s="134"/>
      <c r="D88" s="25">
        <f>SUM(F88:AD88)</f>
        <v>0</v>
      </c>
      <c r="E88" s="24" t="s">
        <v>53</v>
      </c>
      <c r="F88" s="56"/>
      <c r="G88" s="63"/>
      <c r="H88" s="56"/>
      <c r="I88" s="63"/>
      <c r="J88" s="56"/>
      <c r="K88" s="49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5"/>
      <c r="AC88" s="56"/>
      <c r="AD88" s="56"/>
    </row>
    <row r="89" spans="1:107" s="28" customFormat="1" ht="13.5" thickBot="1" x14ac:dyDescent="0.25">
      <c r="A89" s="141"/>
      <c r="B89" s="146"/>
      <c r="C89" s="135"/>
      <c r="D89" s="119" t="s">
        <v>51</v>
      </c>
      <c r="E89" s="120"/>
      <c r="F89" s="106">
        <f>$B$87-F87-F88</f>
        <v>0</v>
      </c>
      <c r="G89" s="107">
        <f>F89+$C$87*2-G87-G88</f>
        <v>0</v>
      </c>
      <c r="H89" s="107">
        <f t="shared" ref="H89:AC89" si="29">G89+$C$87*2-H87-H88</f>
        <v>-8210</v>
      </c>
      <c r="I89" s="107">
        <f t="shared" si="29"/>
        <v>-8210</v>
      </c>
      <c r="J89" s="107">
        <f t="shared" si="29"/>
        <v>-8210</v>
      </c>
      <c r="K89" s="107">
        <f t="shared" si="29"/>
        <v>-8210</v>
      </c>
      <c r="L89" s="107">
        <f t="shared" si="29"/>
        <v>-8210</v>
      </c>
      <c r="M89" s="107">
        <f t="shared" si="29"/>
        <v>-8210</v>
      </c>
      <c r="N89" s="107">
        <f t="shared" si="29"/>
        <v>-8210</v>
      </c>
      <c r="O89" s="107">
        <f t="shared" si="29"/>
        <v>-8210</v>
      </c>
      <c r="P89" s="107">
        <f t="shared" si="29"/>
        <v>-8210</v>
      </c>
      <c r="Q89" s="107">
        <f t="shared" si="29"/>
        <v>-8210</v>
      </c>
      <c r="R89" s="107">
        <f t="shared" si="29"/>
        <v>-8210</v>
      </c>
      <c r="S89" s="107">
        <f t="shared" si="29"/>
        <v>-8210</v>
      </c>
      <c r="T89" s="107">
        <f t="shared" si="29"/>
        <v>-8210</v>
      </c>
      <c r="U89" s="107">
        <f t="shared" si="29"/>
        <v>-8210</v>
      </c>
      <c r="V89" s="107">
        <f t="shared" si="29"/>
        <v>-10610</v>
      </c>
      <c r="W89" s="107">
        <f t="shared" si="29"/>
        <v>-10610</v>
      </c>
      <c r="X89" s="107">
        <f t="shared" si="29"/>
        <v>-10610</v>
      </c>
      <c r="Y89" s="107">
        <f t="shared" si="29"/>
        <v>-10610</v>
      </c>
      <c r="Z89" s="107">
        <f t="shared" si="29"/>
        <v>-10610</v>
      </c>
      <c r="AA89" s="107">
        <f t="shared" si="29"/>
        <v>-10610</v>
      </c>
      <c r="AB89" s="107">
        <f t="shared" si="29"/>
        <v>-10610</v>
      </c>
      <c r="AC89" s="107">
        <f t="shared" si="29"/>
        <v>-10610</v>
      </c>
      <c r="AD89" s="107">
        <f>AC89+$C$87*2-AD87-AD88</f>
        <v>-10610</v>
      </c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</row>
    <row r="90" spans="1:107" s="27" customFormat="1" ht="13.5" thickBot="1" x14ac:dyDescent="0.25">
      <c r="A90" s="170" t="s">
        <v>62</v>
      </c>
      <c r="B90" s="46">
        <v>0</v>
      </c>
      <c r="C90" s="133">
        <v>0</v>
      </c>
      <c r="D90" s="103">
        <f>SUM(F90:AD90)</f>
        <v>0</v>
      </c>
      <c r="E90" s="72" t="s">
        <v>52</v>
      </c>
      <c r="F90" s="73"/>
      <c r="G90" s="74"/>
      <c r="H90" s="73"/>
      <c r="I90" s="74"/>
      <c r="J90" s="73"/>
      <c r="K90" s="75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7"/>
      <c r="AC90" s="73"/>
      <c r="AD90" s="73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</row>
    <row r="91" spans="1:107" x14ac:dyDescent="0.2">
      <c r="A91" s="171"/>
      <c r="B91" s="14"/>
      <c r="C91" s="134"/>
      <c r="D91" s="25">
        <f>SUM(F91:AD91)</f>
        <v>0</v>
      </c>
      <c r="E91" s="24" t="s">
        <v>53</v>
      </c>
      <c r="F91" s="56"/>
      <c r="G91" s="63"/>
      <c r="H91" s="56"/>
      <c r="I91" s="63"/>
      <c r="J91" s="56"/>
      <c r="K91" s="49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5"/>
      <c r="AC91" s="56"/>
      <c r="AD91" s="56"/>
    </row>
    <row r="92" spans="1:107" s="28" customFormat="1" ht="13.5" thickBot="1" x14ac:dyDescent="0.25">
      <c r="A92" s="172"/>
      <c r="B92" s="47">
        <v>0</v>
      </c>
      <c r="C92" s="135"/>
      <c r="D92" s="119" t="s">
        <v>51</v>
      </c>
      <c r="E92" s="120"/>
      <c r="F92" s="106">
        <f>$B$90+B92-F90-F91</f>
        <v>0</v>
      </c>
      <c r="G92" s="107">
        <f t="shared" ref="G92:AD92" si="30">F92+$C$90*2-G90-G91</f>
        <v>0</v>
      </c>
      <c r="H92" s="107">
        <f t="shared" si="30"/>
        <v>0</v>
      </c>
      <c r="I92" s="107">
        <f t="shared" si="30"/>
        <v>0</v>
      </c>
      <c r="J92" s="107">
        <f t="shared" si="30"/>
        <v>0</v>
      </c>
      <c r="K92" s="107">
        <f t="shared" si="30"/>
        <v>0</v>
      </c>
      <c r="L92" s="107">
        <f t="shared" si="30"/>
        <v>0</v>
      </c>
      <c r="M92" s="107">
        <f t="shared" si="30"/>
        <v>0</v>
      </c>
      <c r="N92" s="107">
        <f t="shared" si="30"/>
        <v>0</v>
      </c>
      <c r="O92" s="107">
        <f t="shared" si="30"/>
        <v>0</v>
      </c>
      <c r="P92" s="107">
        <f t="shared" si="30"/>
        <v>0</v>
      </c>
      <c r="Q92" s="107">
        <f t="shared" si="30"/>
        <v>0</v>
      </c>
      <c r="R92" s="107">
        <f t="shared" si="30"/>
        <v>0</v>
      </c>
      <c r="S92" s="107">
        <f t="shared" si="30"/>
        <v>0</v>
      </c>
      <c r="T92" s="107">
        <f t="shared" si="30"/>
        <v>0</v>
      </c>
      <c r="U92" s="107">
        <f t="shared" si="30"/>
        <v>0</v>
      </c>
      <c r="V92" s="107">
        <f t="shared" si="30"/>
        <v>0</v>
      </c>
      <c r="W92" s="107">
        <f t="shared" si="30"/>
        <v>0</v>
      </c>
      <c r="X92" s="107">
        <f t="shared" si="30"/>
        <v>0</v>
      </c>
      <c r="Y92" s="107">
        <f t="shared" si="30"/>
        <v>0</v>
      </c>
      <c r="Z92" s="107">
        <f t="shared" si="30"/>
        <v>0</v>
      </c>
      <c r="AA92" s="107">
        <f t="shared" si="30"/>
        <v>0</v>
      </c>
      <c r="AB92" s="107">
        <f t="shared" si="30"/>
        <v>0</v>
      </c>
      <c r="AC92" s="107">
        <f t="shared" si="30"/>
        <v>0</v>
      </c>
      <c r="AD92" s="107">
        <f t="shared" si="30"/>
        <v>0</v>
      </c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</row>
    <row r="93" spans="1:107" s="27" customFormat="1" ht="13.5" thickBot="1" x14ac:dyDescent="0.25">
      <c r="A93" s="170" t="s">
        <v>63</v>
      </c>
      <c r="B93" s="46">
        <v>770</v>
      </c>
      <c r="C93" s="133">
        <v>900</v>
      </c>
      <c r="D93" s="103">
        <f>SUM(F93:AD93)</f>
        <v>5700</v>
      </c>
      <c r="E93" s="72" t="s">
        <v>52</v>
      </c>
      <c r="F93" s="73"/>
      <c r="G93" s="74"/>
      <c r="H93" s="73"/>
      <c r="I93" s="74"/>
      <c r="J93" s="73"/>
      <c r="K93" s="75">
        <f>5700</f>
        <v>5700</v>
      </c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7"/>
      <c r="AC93" s="73"/>
      <c r="AD93" s="7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</row>
    <row r="94" spans="1:107" x14ac:dyDescent="0.2">
      <c r="A94" s="171"/>
      <c r="B94" s="14"/>
      <c r="C94" s="134"/>
      <c r="D94" s="25">
        <f>SUM(F94:AD94)</f>
        <v>9400</v>
      </c>
      <c r="E94" s="24" t="s">
        <v>53</v>
      </c>
      <c r="F94" s="56"/>
      <c r="G94" s="63"/>
      <c r="H94" s="56"/>
      <c r="I94" s="63"/>
      <c r="J94" s="56"/>
      <c r="K94" s="49">
        <f>9400</f>
        <v>9400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5"/>
      <c r="AC94" s="56"/>
      <c r="AD94" s="56"/>
    </row>
    <row r="95" spans="1:107" s="28" customFormat="1" ht="13.5" thickBot="1" x14ac:dyDescent="0.25">
      <c r="A95" s="172"/>
      <c r="B95" s="47">
        <f>300+2400</f>
        <v>2700</v>
      </c>
      <c r="C95" s="135"/>
      <c r="D95" s="119" t="s">
        <v>51</v>
      </c>
      <c r="E95" s="120"/>
      <c r="F95" s="106">
        <f>B93+B95-F93-F94</f>
        <v>3470</v>
      </c>
      <c r="G95" s="107">
        <f t="shared" ref="G95:AD95" si="31">F95+$C$93*2-G93-G94</f>
        <v>5270</v>
      </c>
      <c r="H95" s="107">
        <f t="shared" si="31"/>
        <v>7070</v>
      </c>
      <c r="I95" s="107">
        <f t="shared" si="31"/>
        <v>8870</v>
      </c>
      <c r="J95" s="107">
        <f t="shared" si="31"/>
        <v>10670</v>
      </c>
      <c r="K95" s="107">
        <f t="shared" si="31"/>
        <v>-2630</v>
      </c>
      <c r="L95" s="107">
        <f t="shared" si="31"/>
        <v>-830</v>
      </c>
      <c r="M95" s="107">
        <f t="shared" si="31"/>
        <v>970</v>
      </c>
      <c r="N95" s="107">
        <f t="shared" si="31"/>
        <v>2770</v>
      </c>
      <c r="O95" s="107">
        <f t="shared" si="31"/>
        <v>4570</v>
      </c>
      <c r="P95" s="107">
        <f t="shared" si="31"/>
        <v>6370</v>
      </c>
      <c r="Q95" s="107">
        <f t="shared" si="31"/>
        <v>8170</v>
      </c>
      <c r="R95" s="107">
        <f t="shared" si="31"/>
        <v>9970</v>
      </c>
      <c r="S95" s="107">
        <f t="shared" si="31"/>
        <v>11770</v>
      </c>
      <c r="T95" s="107">
        <f t="shared" si="31"/>
        <v>13570</v>
      </c>
      <c r="U95" s="107">
        <f t="shared" si="31"/>
        <v>15370</v>
      </c>
      <c r="V95" s="107">
        <f t="shared" si="31"/>
        <v>17170</v>
      </c>
      <c r="W95" s="107">
        <f t="shared" si="31"/>
        <v>18970</v>
      </c>
      <c r="X95" s="107">
        <f t="shared" si="31"/>
        <v>20770</v>
      </c>
      <c r="Y95" s="107">
        <f t="shared" si="31"/>
        <v>22570</v>
      </c>
      <c r="Z95" s="107">
        <f t="shared" si="31"/>
        <v>24370</v>
      </c>
      <c r="AA95" s="107">
        <f t="shared" si="31"/>
        <v>26170</v>
      </c>
      <c r="AB95" s="107">
        <f t="shared" si="31"/>
        <v>27970</v>
      </c>
      <c r="AC95" s="107">
        <f t="shared" si="31"/>
        <v>29770</v>
      </c>
      <c r="AD95" s="107">
        <f t="shared" si="31"/>
        <v>31570</v>
      </c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</row>
    <row r="96" spans="1:107" s="27" customFormat="1" ht="13.5" thickBot="1" x14ac:dyDescent="0.25">
      <c r="A96" s="170" t="s">
        <v>16</v>
      </c>
      <c r="B96" s="144">
        <v>3872</v>
      </c>
      <c r="C96" s="168">
        <v>1800</v>
      </c>
      <c r="D96" s="103">
        <f>SUM(F96:AD96)</f>
        <v>26900</v>
      </c>
      <c r="E96" s="72" t="s">
        <v>52</v>
      </c>
      <c r="F96" s="73"/>
      <c r="G96" s="74">
        <f>1400+1000</f>
        <v>2400</v>
      </c>
      <c r="H96" s="73"/>
      <c r="I96" s="74"/>
      <c r="J96" s="73"/>
      <c r="K96" s="75"/>
      <c r="L96" s="76">
        <f>9400+6000</f>
        <v>15400</v>
      </c>
      <c r="M96" s="76">
        <f>4100</f>
        <v>4100</v>
      </c>
      <c r="N96" s="76"/>
      <c r="O96" s="76"/>
      <c r="P96" s="76"/>
      <c r="Q96" s="76"/>
      <c r="R96" s="76"/>
      <c r="S96" s="76"/>
      <c r="T96" s="76"/>
      <c r="U96" s="76"/>
      <c r="V96" s="76">
        <f>1000+3000+1000</f>
        <v>5000</v>
      </c>
      <c r="W96" s="76"/>
      <c r="X96" s="76"/>
      <c r="Y96" s="76"/>
      <c r="Z96" s="76"/>
      <c r="AA96" s="76"/>
      <c r="AB96" s="77"/>
      <c r="AC96" s="73"/>
      <c r="AD96" s="73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</row>
    <row r="97" spans="1:107" x14ac:dyDescent="0.2">
      <c r="A97" s="171"/>
      <c r="B97" s="145"/>
      <c r="C97" s="169"/>
      <c r="D97" s="25">
        <f>SUM(F97:AD97)</f>
        <v>5200</v>
      </c>
      <c r="E97" s="24" t="s">
        <v>53</v>
      </c>
      <c r="F97" s="56"/>
      <c r="G97" s="63">
        <f>3000</f>
        <v>3000</v>
      </c>
      <c r="H97" s="56"/>
      <c r="I97" s="63"/>
      <c r="J97" s="56"/>
      <c r="K97" s="49"/>
      <c r="L97" s="3"/>
      <c r="M97" s="3"/>
      <c r="N97" s="3"/>
      <c r="O97" s="3"/>
      <c r="P97" s="3"/>
      <c r="Q97" s="3"/>
      <c r="R97" s="3"/>
      <c r="S97" s="3"/>
      <c r="T97" s="3"/>
      <c r="U97" s="3"/>
      <c r="V97" s="3">
        <f>2200</f>
        <v>2200</v>
      </c>
      <c r="W97" s="3"/>
      <c r="X97" s="3"/>
      <c r="Y97" s="3"/>
      <c r="Z97" s="3"/>
      <c r="AA97" s="3"/>
      <c r="AB97" s="5"/>
      <c r="AC97" s="56"/>
      <c r="AD97" s="56"/>
    </row>
    <row r="98" spans="1:107" s="28" customFormat="1" ht="13.5" thickBot="1" x14ac:dyDescent="0.25">
      <c r="A98" s="172"/>
      <c r="B98" s="146"/>
      <c r="C98" s="135"/>
      <c r="D98" s="119" t="s">
        <v>51</v>
      </c>
      <c r="E98" s="120"/>
      <c r="F98" s="106">
        <f>$B$96-F96-F97</f>
        <v>3872</v>
      </c>
      <c r="G98" s="107">
        <f>F98+$C$96*2-G96-G97</f>
        <v>2072</v>
      </c>
      <c r="H98" s="107">
        <f t="shared" ref="H98:AC98" si="32">G98+$C$96*2-H96-H97</f>
        <v>5672</v>
      </c>
      <c r="I98" s="107">
        <f t="shared" si="32"/>
        <v>9272</v>
      </c>
      <c r="J98" s="107">
        <f t="shared" si="32"/>
        <v>12872</v>
      </c>
      <c r="K98" s="107">
        <f t="shared" si="32"/>
        <v>16472</v>
      </c>
      <c r="L98" s="107">
        <f t="shared" si="32"/>
        <v>4672</v>
      </c>
      <c r="M98" s="107">
        <f t="shared" si="32"/>
        <v>4172</v>
      </c>
      <c r="N98" s="107">
        <f t="shared" si="32"/>
        <v>7772</v>
      </c>
      <c r="O98" s="107">
        <f t="shared" si="32"/>
        <v>11372</v>
      </c>
      <c r="P98" s="107">
        <f t="shared" si="32"/>
        <v>14972</v>
      </c>
      <c r="Q98" s="107">
        <f t="shared" si="32"/>
        <v>18572</v>
      </c>
      <c r="R98" s="107">
        <f t="shared" si="32"/>
        <v>22172</v>
      </c>
      <c r="S98" s="107">
        <f t="shared" si="32"/>
        <v>25772</v>
      </c>
      <c r="T98" s="107">
        <f t="shared" si="32"/>
        <v>29372</v>
      </c>
      <c r="U98" s="107">
        <f t="shared" si="32"/>
        <v>32972</v>
      </c>
      <c r="V98" s="107">
        <f t="shared" si="32"/>
        <v>29372</v>
      </c>
      <c r="W98" s="107">
        <f t="shared" si="32"/>
        <v>32972</v>
      </c>
      <c r="X98" s="107">
        <f t="shared" si="32"/>
        <v>36572</v>
      </c>
      <c r="Y98" s="107">
        <f t="shared" si="32"/>
        <v>40172</v>
      </c>
      <c r="Z98" s="107">
        <f t="shared" si="32"/>
        <v>43772</v>
      </c>
      <c r="AA98" s="107">
        <f t="shared" si="32"/>
        <v>47372</v>
      </c>
      <c r="AB98" s="107">
        <f t="shared" si="32"/>
        <v>50972</v>
      </c>
      <c r="AC98" s="107">
        <f t="shared" si="32"/>
        <v>54572</v>
      </c>
      <c r="AD98" s="107">
        <f>AC98+$C$96*2-AD96-AD97</f>
        <v>58172</v>
      </c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</row>
    <row r="99" spans="1:107" s="27" customFormat="1" ht="13.5" thickBot="1" x14ac:dyDescent="0.25">
      <c r="A99" s="170" t="s">
        <v>17</v>
      </c>
      <c r="B99" s="144">
        <v>2336</v>
      </c>
      <c r="C99" s="133">
        <v>1350</v>
      </c>
      <c r="D99" s="103">
        <f>SUM(F99:AD99)</f>
        <v>5700</v>
      </c>
      <c r="E99" s="72" t="s">
        <v>52</v>
      </c>
      <c r="F99" s="73"/>
      <c r="G99" s="74"/>
      <c r="H99" s="73"/>
      <c r="I99" s="74"/>
      <c r="J99" s="73"/>
      <c r="K99" s="75"/>
      <c r="L99" s="76"/>
      <c r="M99" s="76"/>
      <c r="N99" s="76">
        <f>700</f>
        <v>700</v>
      </c>
      <c r="O99" s="76"/>
      <c r="P99" s="76"/>
      <c r="Q99" s="76"/>
      <c r="R99" s="76"/>
      <c r="S99" s="76"/>
      <c r="T99" s="76"/>
      <c r="U99" s="76"/>
      <c r="V99" s="76">
        <f>2000+2000+1000</f>
        <v>5000</v>
      </c>
      <c r="W99" s="76"/>
      <c r="X99" s="76"/>
      <c r="Y99" s="76"/>
      <c r="Z99" s="76"/>
      <c r="AA99" s="76"/>
      <c r="AB99" s="77"/>
      <c r="AC99" s="73"/>
      <c r="AD99" s="73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</row>
    <row r="100" spans="1:107" x14ac:dyDescent="0.2">
      <c r="A100" s="171"/>
      <c r="B100" s="145"/>
      <c r="C100" s="134"/>
      <c r="D100" s="25">
        <f>SUM(F100:AD100)</f>
        <v>3000</v>
      </c>
      <c r="E100" s="24" t="s">
        <v>53</v>
      </c>
      <c r="F100" s="56"/>
      <c r="G100" s="63">
        <f>3000</f>
        <v>3000</v>
      </c>
      <c r="H100" s="56"/>
      <c r="I100" s="63"/>
      <c r="J100" s="56"/>
      <c r="K100" s="49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5"/>
      <c r="AC100" s="56"/>
      <c r="AD100" s="56"/>
    </row>
    <row r="101" spans="1:107" s="28" customFormat="1" ht="13.5" thickBot="1" x14ac:dyDescent="0.25">
      <c r="A101" s="172"/>
      <c r="B101" s="146"/>
      <c r="C101" s="135"/>
      <c r="D101" s="119" t="s">
        <v>51</v>
      </c>
      <c r="E101" s="120"/>
      <c r="F101" s="106">
        <f>$B$99-F99-F100</f>
        <v>2336</v>
      </c>
      <c r="G101" s="107">
        <f>F101+$C$99*2-G99-G100</f>
        <v>2036</v>
      </c>
      <c r="H101" s="107">
        <f t="shared" ref="H101:AC101" si="33">G101+$C$99*2-H99-H100</f>
        <v>4736</v>
      </c>
      <c r="I101" s="107">
        <f t="shared" si="33"/>
        <v>7436</v>
      </c>
      <c r="J101" s="107">
        <f t="shared" si="33"/>
        <v>10136</v>
      </c>
      <c r="K101" s="107">
        <f t="shared" si="33"/>
        <v>12836</v>
      </c>
      <c r="L101" s="107">
        <f t="shared" si="33"/>
        <v>15536</v>
      </c>
      <c r="M101" s="107">
        <f t="shared" si="33"/>
        <v>18236</v>
      </c>
      <c r="N101" s="107">
        <f t="shared" si="33"/>
        <v>20236</v>
      </c>
      <c r="O101" s="107">
        <f t="shared" si="33"/>
        <v>22936</v>
      </c>
      <c r="P101" s="107">
        <f t="shared" si="33"/>
        <v>25636</v>
      </c>
      <c r="Q101" s="107">
        <f t="shared" si="33"/>
        <v>28336</v>
      </c>
      <c r="R101" s="107">
        <f t="shared" si="33"/>
        <v>31036</v>
      </c>
      <c r="S101" s="107">
        <f t="shared" si="33"/>
        <v>33736</v>
      </c>
      <c r="T101" s="107">
        <f t="shared" si="33"/>
        <v>36436</v>
      </c>
      <c r="U101" s="107">
        <f t="shared" si="33"/>
        <v>39136</v>
      </c>
      <c r="V101" s="107">
        <f t="shared" si="33"/>
        <v>36836</v>
      </c>
      <c r="W101" s="107">
        <f t="shared" si="33"/>
        <v>39536</v>
      </c>
      <c r="X101" s="107">
        <f t="shared" si="33"/>
        <v>42236</v>
      </c>
      <c r="Y101" s="107">
        <f t="shared" si="33"/>
        <v>44936</v>
      </c>
      <c r="Z101" s="107">
        <f t="shared" si="33"/>
        <v>47636</v>
      </c>
      <c r="AA101" s="107">
        <f t="shared" si="33"/>
        <v>50336</v>
      </c>
      <c r="AB101" s="107">
        <f t="shared" si="33"/>
        <v>53036</v>
      </c>
      <c r="AC101" s="107">
        <f t="shared" si="33"/>
        <v>55736</v>
      </c>
      <c r="AD101" s="107">
        <f>AC101+$C$99*2-AD99-AD100</f>
        <v>58436</v>
      </c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</row>
    <row r="102" spans="1:107" s="27" customFormat="1" ht="13.5" thickBot="1" x14ac:dyDescent="0.25">
      <c r="A102" s="170" t="s">
        <v>18</v>
      </c>
      <c r="B102" s="144">
        <v>664</v>
      </c>
      <c r="C102" s="133">
        <v>500</v>
      </c>
      <c r="D102" s="103">
        <f>SUM(F102:AD102)</f>
        <v>9000</v>
      </c>
      <c r="E102" s="72" t="s">
        <v>52</v>
      </c>
      <c r="F102" s="73"/>
      <c r="G102" s="74">
        <f>1000</f>
        <v>1000</v>
      </c>
      <c r="H102" s="73"/>
      <c r="I102" s="74">
        <f>400</f>
        <v>400</v>
      </c>
      <c r="J102" s="73"/>
      <c r="K102" s="75"/>
      <c r="L102" s="76"/>
      <c r="M102" s="86"/>
      <c r="N102" s="76"/>
      <c r="O102" s="76"/>
      <c r="P102" s="76"/>
      <c r="Q102" s="76"/>
      <c r="R102" s="76"/>
      <c r="S102" s="76"/>
      <c r="T102" s="76"/>
      <c r="U102" s="76"/>
      <c r="V102" s="76">
        <f>2000+3600+2000</f>
        <v>7600</v>
      </c>
      <c r="W102" s="76"/>
      <c r="X102" s="76"/>
      <c r="Y102" s="76"/>
      <c r="Z102" s="76"/>
      <c r="AA102" s="76"/>
      <c r="AB102" s="77"/>
      <c r="AC102" s="73"/>
      <c r="AD102" s="73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</row>
    <row r="103" spans="1:107" x14ac:dyDescent="0.2">
      <c r="A103" s="171"/>
      <c r="B103" s="145"/>
      <c r="C103" s="134"/>
      <c r="D103" s="25">
        <f>SUM(F103:AD103)</f>
        <v>0</v>
      </c>
      <c r="E103" s="24" t="s">
        <v>53</v>
      </c>
      <c r="F103" s="56"/>
      <c r="G103" s="63"/>
      <c r="H103" s="56"/>
      <c r="I103" s="63"/>
      <c r="J103" s="56"/>
      <c r="K103" s="49"/>
      <c r="L103" s="3"/>
      <c r="M103" s="4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5"/>
      <c r="AC103" s="56"/>
      <c r="AD103" s="56"/>
    </row>
    <row r="104" spans="1:107" s="28" customFormat="1" ht="13.5" thickBot="1" x14ac:dyDescent="0.25">
      <c r="A104" s="172"/>
      <c r="B104" s="146"/>
      <c r="C104" s="135"/>
      <c r="D104" s="119" t="s">
        <v>51</v>
      </c>
      <c r="E104" s="120"/>
      <c r="F104" s="106">
        <f>$B$102-F102-F103</f>
        <v>664</v>
      </c>
      <c r="G104" s="107">
        <f>F104+$C$102*2-G102-G103</f>
        <v>664</v>
      </c>
      <c r="H104" s="107">
        <f t="shared" ref="H104:AC104" si="34">G104+$C$102*2-H102-H103</f>
        <v>1664</v>
      </c>
      <c r="I104" s="107">
        <f t="shared" si="34"/>
        <v>2264</v>
      </c>
      <c r="J104" s="107">
        <f t="shared" si="34"/>
        <v>3264</v>
      </c>
      <c r="K104" s="107">
        <f t="shared" si="34"/>
        <v>4264</v>
      </c>
      <c r="L104" s="107">
        <f t="shared" si="34"/>
        <v>5264</v>
      </c>
      <c r="M104" s="107">
        <f t="shared" si="34"/>
        <v>6264</v>
      </c>
      <c r="N104" s="107">
        <f t="shared" si="34"/>
        <v>7264</v>
      </c>
      <c r="O104" s="107">
        <f t="shared" si="34"/>
        <v>8264</v>
      </c>
      <c r="P104" s="107">
        <f t="shared" si="34"/>
        <v>9264</v>
      </c>
      <c r="Q104" s="107">
        <f t="shared" si="34"/>
        <v>10264</v>
      </c>
      <c r="R104" s="107">
        <f t="shared" si="34"/>
        <v>11264</v>
      </c>
      <c r="S104" s="107">
        <f t="shared" si="34"/>
        <v>12264</v>
      </c>
      <c r="T104" s="107">
        <f t="shared" si="34"/>
        <v>13264</v>
      </c>
      <c r="U104" s="107">
        <f t="shared" si="34"/>
        <v>14264</v>
      </c>
      <c r="V104" s="107">
        <f t="shared" si="34"/>
        <v>7664</v>
      </c>
      <c r="W104" s="107">
        <f t="shared" si="34"/>
        <v>8664</v>
      </c>
      <c r="X104" s="107">
        <f t="shared" si="34"/>
        <v>9664</v>
      </c>
      <c r="Y104" s="107">
        <f t="shared" si="34"/>
        <v>10664</v>
      </c>
      <c r="Z104" s="107">
        <f t="shared" si="34"/>
        <v>11664</v>
      </c>
      <c r="AA104" s="107">
        <f t="shared" si="34"/>
        <v>12664</v>
      </c>
      <c r="AB104" s="107">
        <f t="shared" si="34"/>
        <v>13664</v>
      </c>
      <c r="AC104" s="107">
        <f t="shared" si="34"/>
        <v>14664</v>
      </c>
      <c r="AD104" s="107">
        <f>AC104+$C$102*2-AD102-AD103</f>
        <v>15664</v>
      </c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</row>
    <row r="105" spans="1:107" s="27" customFormat="1" ht="13.5" thickBot="1" x14ac:dyDescent="0.25">
      <c r="A105" s="170" t="s">
        <v>19</v>
      </c>
      <c r="B105" s="144">
        <v>1327</v>
      </c>
      <c r="C105" s="133">
        <v>0</v>
      </c>
      <c r="D105" s="103">
        <f>SUM(F105:AD105)</f>
        <v>6400</v>
      </c>
      <c r="E105" s="72" t="s">
        <v>52</v>
      </c>
      <c r="F105" s="73"/>
      <c r="G105" s="74"/>
      <c r="H105" s="73"/>
      <c r="I105" s="74"/>
      <c r="J105" s="73"/>
      <c r="K105" s="75"/>
      <c r="L105" s="76">
        <f>3400</f>
        <v>3400</v>
      </c>
      <c r="M105" s="76">
        <f>3000</f>
        <v>3000</v>
      </c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7"/>
      <c r="AC105" s="73"/>
      <c r="AD105" s="73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</row>
    <row r="106" spans="1:107" x14ac:dyDescent="0.2">
      <c r="A106" s="171"/>
      <c r="B106" s="145"/>
      <c r="C106" s="134"/>
      <c r="D106" s="25">
        <f>SUM(F106:AD106)</f>
        <v>0</v>
      </c>
      <c r="E106" s="24" t="s">
        <v>53</v>
      </c>
      <c r="F106" s="56"/>
      <c r="G106" s="63"/>
      <c r="H106" s="56"/>
      <c r="I106" s="63"/>
      <c r="J106" s="56"/>
      <c r="K106" s="49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5"/>
      <c r="AC106" s="56"/>
      <c r="AD106" s="56"/>
    </row>
    <row r="107" spans="1:107" s="28" customFormat="1" ht="13.5" thickBot="1" x14ac:dyDescent="0.25">
      <c r="A107" s="172"/>
      <c r="B107" s="146"/>
      <c r="C107" s="135"/>
      <c r="D107" s="119" t="s">
        <v>51</v>
      </c>
      <c r="E107" s="120"/>
      <c r="F107" s="106">
        <f>$B$105-F105-F106</f>
        <v>1327</v>
      </c>
      <c r="G107" s="107">
        <f>F107+$C$105*2-G105-G106</f>
        <v>1327</v>
      </c>
      <c r="H107" s="107">
        <f t="shared" ref="H107:AC107" si="35">G107+$C$105*2-H105-H106</f>
        <v>1327</v>
      </c>
      <c r="I107" s="107">
        <f t="shared" si="35"/>
        <v>1327</v>
      </c>
      <c r="J107" s="107">
        <f t="shared" si="35"/>
        <v>1327</v>
      </c>
      <c r="K107" s="107">
        <f t="shared" si="35"/>
        <v>1327</v>
      </c>
      <c r="L107" s="107">
        <f t="shared" si="35"/>
        <v>-2073</v>
      </c>
      <c r="M107" s="107">
        <f t="shared" si="35"/>
        <v>-5073</v>
      </c>
      <c r="N107" s="107">
        <f t="shared" si="35"/>
        <v>-5073</v>
      </c>
      <c r="O107" s="107">
        <f t="shared" si="35"/>
        <v>-5073</v>
      </c>
      <c r="P107" s="107">
        <f t="shared" si="35"/>
        <v>-5073</v>
      </c>
      <c r="Q107" s="107">
        <f t="shared" si="35"/>
        <v>-5073</v>
      </c>
      <c r="R107" s="107">
        <f t="shared" si="35"/>
        <v>-5073</v>
      </c>
      <c r="S107" s="107">
        <f t="shared" si="35"/>
        <v>-5073</v>
      </c>
      <c r="T107" s="107">
        <f t="shared" si="35"/>
        <v>-5073</v>
      </c>
      <c r="U107" s="107">
        <f t="shared" si="35"/>
        <v>-5073</v>
      </c>
      <c r="V107" s="107">
        <f t="shared" si="35"/>
        <v>-5073</v>
      </c>
      <c r="W107" s="107">
        <f t="shared" si="35"/>
        <v>-5073</v>
      </c>
      <c r="X107" s="107">
        <f t="shared" si="35"/>
        <v>-5073</v>
      </c>
      <c r="Y107" s="107">
        <f t="shared" si="35"/>
        <v>-5073</v>
      </c>
      <c r="Z107" s="107">
        <f t="shared" si="35"/>
        <v>-5073</v>
      </c>
      <c r="AA107" s="107">
        <f t="shared" si="35"/>
        <v>-5073</v>
      </c>
      <c r="AB107" s="107">
        <f t="shared" si="35"/>
        <v>-5073</v>
      </c>
      <c r="AC107" s="107">
        <f t="shared" si="35"/>
        <v>-5073</v>
      </c>
      <c r="AD107" s="107">
        <f>AC107+$C$105*2-AD105-AD106</f>
        <v>-5073</v>
      </c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</row>
    <row r="108" spans="1:107" s="27" customFormat="1" ht="13.5" thickBot="1" x14ac:dyDescent="0.25">
      <c r="A108" s="170" t="s">
        <v>22</v>
      </c>
      <c r="B108" s="144">
        <v>1245</v>
      </c>
      <c r="C108" s="133">
        <v>350</v>
      </c>
      <c r="D108" s="103">
        <f>SUM(F108:AD108)</f>
        <v>13800</v>
      </c>
      <c r="E108" s="72" t="s">
        <v>52</v>
      </c>
      <c r="F108" s="73"/>
      <c r="G108" s="74">
        <f>800</f>
        <v>800</v>
      </c>
      <c r="H108" s="73">
        <f>5000</f>
        <v>5000</v>
      </c>
      <c r="I108" s="74"/>
      <c r="J108" s="73"/>
      <c r="K108" s="75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>
        <f>8000</f>
        <v>8000</v>
      </c>
      <c r="W108" s="76"/>
      <c r="X108" s="76"/>
      <c r="Y108" s="76"/>
      <c r="Z108" s="76"/>
      <c r="AA108" s="76"/>
      <c r="AB108" s="77"/>
      <c r="AC108" s="73"/>
      <c r="AD108" s="73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</row>
    <row r="109" spans="1:107" x14ac:dyDescent="0.2">
      <c r="A109" s="171"/>
      <c r="B109" s="145"/>
      <c r="C109" s="134"/>
      <c r="D109" s="25">
        <f>SUM(F109:AD109)</f>
        <v>0</v>
      </c>
      <c r="E109" s="24" t="s">
        <v>53</v>
      </c>
      <c r="F109" s="56"/>
      <c r="G109" s="63"/>
      <c r="H109" s="56"/>
      <c r="I109" s="63"/>
      <c r="J109" s="56"/>
      <c r="K109" s="49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5"/>
      <c r="AC109" s="56"/>
      <c r="AD109" s="56"/>
    </row>
    <row r="110" spans="1:107" s="28" customFormat="1" ht="13.5" thickBot="1" x14ac:dyDescent="0.25">
      <c r="A110" s="172"/>
      <c r="B110" s="146"/>
      <c r="C110" s="135"/>
      <c r="D110" s="119" t="s">
        <v>51</v>
      </c>
      <c r="E110" s="120"/>
      <c r="F110" s="106">
        <f>$B$108-F108-F109</f>
        <v>1245</v>
      </c>
      <c r="G110" s="107">
        <f>F110+$C$108*2-G108-G109</f>
        <v>1145</v>
      </c>
      <c r="H110" s="107">
        <f t="shared" ref="H110:AC110" si="36">G110+$C$108*2-H108-H109</f>
        <v>-3155</v>
      </c>
      <c r="I110" s="107">
        <f t="shared" si="36"/>
        <v>-2455</v>
      </c>
      <c r="J110" s="107">
        <f t="shared" si="36"/>
        <v>-1755</v>
      </c>
      <c r="K110" s="107">
        <f t="shared" si="36"/>
        <v>-1055</v>
      </c>
      <c r="L110" s="107">
        <f t="shared" si="36"/>
        <v>-355</v>
      </c>
      <c r="M110" s="107">
        <f t="shared" si="36"/>
        <v>345</v>
      </c>
      <c r="N110" s="107">
        <f t="shared" si="36"/>
        <v>1045</v>
      </c>
      <c r="O110" s="107">
        <f t="shared" si="36"/>
        <v>1745</v>
      </c>
      <c r="P110" s="107">
        <f t="shared" si="36"/>
        <v>2445</v>
      </c>
      <c r="Q110" s="107">
        <f t="shared" si="36"/>
        <v>3145</v>
      </c>
      <c r="R110" s="107">
        <f t="shared" si="36"/>
        <v>3845</v>
      </c>
      <c r="S110" s="107">
        <f t="shared" si="36"/>
        <v>4545</v>
      </c>
      <c r="T110" s="107">
        <f t="shared" si="36"/>
        <v>5245</v>
      </c>
      <c r="U110" s="107">
        <f t="shared" si="36"/>
        <v>5945</v>
      </c>
      <c r="V110" s="107">
        <f t="shared" si="36"/>
        <v>-1355</v>
      </c>
      <c r="W110" s="107">
        <f t="shared" si="36"/>
        <v>-655</v>
      </c>
      <c r="X110" s="107">
        <f t="shared" si="36"/>
        <v>45</v>
      </c>
      <c r="Y110" s="107">
        <f t="shared" si="36"/>
        <v>745</v>
      </c>
      <c r="Z110" s="107">
        <f t="shared" si="36"/>
        <v>1445</v>
      </c>
      <c r="AA110" s="107">
        <f t="shared" si="36"/>
        <v>2145</v>
      </c>
      <c r="AB110" s="107">
        <f t="shared" si="36"/>
        <v>2845</v>
      </c>
      <c r="AC110" s="107">
        <f t="shared" si="36"/>
        <v>3545</v>
      </c>
      <c r="AD110" s="107">
        <f>AC110+$C$108*2-AD108-AD109</f>
        <v>4245</v>
      </c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</row>
    <row r="111" spans="1:107" s="27" customFormat="1" ht="12.75" customHeight="1" thickBot="1" x14ac:dyDescent="0.25">
      <c r="A111" s="170" t="s">
        <v>39</v>
      </c>
      <c r="B111" s="144">
        <v>0</v>
      </c>
      <c r="C111" s="133">
        <v>0</v>
      </c>
      <c r="D111" s="103">
        <f>SUM(F111:AD111)</f>
        <v>0</v>
      </c>
      <c r="E111" s="72" t="s">
        <v>52</v>
      </c>
      <c r="F111" s="73"/>
      <c r="G111" s="74"/>
      <c r="H111" s="73"/>
      <c r="I111" s="74"/>
      <c r="J111" s="73"/>
      <c r="K111" s="75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7"/>
      <c r="AC111" s="73"/>
      <c r="AD111" s="73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</row>
    <row r="112" spans="1:107" ht="12.75" customHeight="1" x14ac:dyDescent="0.2">
      <c r="A112" s="171"/>
      <c r="B112" s="145"/>
      <c r="C112" s="134"/>
      <c r="D112" s="25">
        <f>SUM(F112:AD112)</f>
        <v>0</v>
      </c>
      <c r="E112" s="24" t="s">
        <v>53</v>
      </c>
      <c r="F112" s="56"/>
      <c r="G112" s="63"/>
      <c r="H112" s="56"/>
      <c r="I112" s="63"/>
      <c r="J112" s="56"/>
      <c r="K112" s="49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5"/>
      <c r="AC112" s="56"/>
      <c r="AD112" s="56"/>
    </row>
    <row r="113" spans="1:107" s="28" customFormat="1" ht="12.75" customHeight="1" thickBot="1" x14ac:dyDescent="0.25">
      <c r="A113" s="172"/>
      <c r="B113" s="146"/>
      <c r="C113" s="135"/>
      <c r="D113" s="119" t="s">
        <v>51</v>
      </c>
      <c r="E113" s="120"/>
      <c r="F113" s="106">
        <f>$B$111-F111-F112</f>
        <v>0</v>
      </c>
      <c r="G113" s="107">
        <f>F113+$C$111*2-G111-G112</f>
        <v>0</v>
      </c>
      <c r="H113" s="107">
        <f t="shared" ref="H113:AC113" si="37">G113+$C$111*2-H111-H112</f>
        <v>0</v>
      </c>
      <c r="I113" s="107">
        <f t="shared" si="37"/>
        <v>0</v>
      </c>
      <c r="J113" s="107">
        <f t="shared" si="37"/>
        <v>0</v>
      </c>
      <c r="K113" s="107">
        <f t="shared" si="37"/>
        <v>0</v>
      </c>
      <c r="L113" s="107">
        <f t="shared" si="37"/>
        <v>0</v>
      </c>
      <c r="M113" s="107">
        <f t="shared" si="37"/>
        <v>0</v>
      </c>
      <c r="N113" s="107">
        <f t="shared" si="37"/>
        <v>0</v>
      </c>
      <c r="O113" s="107">
        <f t="shared" si="37"/>
        <v>0</v>
      </c>
      <c r="P113" s="107">
        <f t="shared" si="37"/>
        <v>0</v>
      </c>
      <c r="Q113" s="107">
        <f t="shared" si="37"/>
        <v>0</v>
      </c>
      <c r="R113" s="107">
        <f t="shared" si="37"/>
        <v>0</v>
      </c>
      <c r="S113" s="107">
        <f t="shared" si="37"/>
        <v>0</v>
      </c>
      <c r="T113" s="107">
        <f t="shared" si="37"/>
        <v>0</v>
      </c>
      <c r="U113" s="107">
        <f t="shared" si="37"/>
        <v>0</v>
      </c>
      <c r="V113" s="107">
        <f t="shared" si="37"/>
        <v>0</v>
      </c>
      <c r="W113" s="107">
        <f t="shared" si="37"/>
        <v>0</v>
      </c>
      <c r="X113" s="107">
        <f t="shared" si="37"/>
        <v>0</v>
      </c>
      <c r="Y113" s="107">
        <f t="shared" si="37"/>
        <v>0</v>
      </c>
      <c r="Z113" s="107">
        <f t="shared" si="37"/>
        <v>0</v>
      </c>
      <c r="AA113" s="107">
        <f t="shared" si="37"/>
        <v>0</v>
      </c>
      <c r="AB113" s="107">
        <f t="shared" si="37"/>
        <v>0</v>
      </c>
      <c r="AC113" s="107">
        <f t="shared" si="37"/>
        <v>0</v>
      </c>
      <c r="AD113" s="107">
        <f>AC113+$C$111*2-AD111-AD112</f>
        <v>0</v>
      </c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</row>
    <row r="114" spans="1:107" s="27" customFormat="1" ht="12.75" customHeight="1" thickBot="1" x14ac:dyDescent="0.25">
      <c r="A114" s="170" t="s">
        <v>20</v>
      </c>
      <c r="B114" s="144">
        <v>0</v>
      </c>
      <c r="C114" s="133">
        <v>0</v>
      </c>
      <c r="D114" s="103">
        <f>SUM(F114:AD114)</f>
        <v>0</v>
      </c>
      <c r="E114" s="72" t="s">
        <v>52</v>
      </c>
      <c r="F114" s="73"/>
      <c r="G114" s="74"/>
      <c r="H114" s="73"/>
      <c r="I114" s="74"/>
      <c r="J114" s="73"/>
      <c r="K114" s="75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7"/>
      <c r="AC114" s="73"/>
      <c r="AD114" s="73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</row>
    <row r="115" spans="1:107" ht="12.75" customHeight="1" x14ac:dyDescent="0.2">
      <c r="A115" s="171"/>
      <c r="B115" s="145"/>
      <c r="C115" s="134"/>
      <c r="D115" s="25">
        <f>SUM(F115:AD115)</f>
        <v>0</v>
      </c>
      <c r="E115" s="24" t="s">
        <v>53</v>
      </c>
      <c r="F115" s="56"/>
      <c r="G115" s="63"/>
      <c r="H115" s="56"/>
      <c r="I115" s="63"/>
      <c r="J115" s="56"/>
      <c r="K115" s="49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5"/>
      <c r="AC115" s="56"/>
      <c r="AD115" s="56"/>
    </row>
    <row r="116" spans="1:107" s="28" customFormat="1" ht="12.75" customHeight="1" thickBot="1" x14ac:dyDescent="0.25">
      <c r="A116" s="172"/>
      <c r="B116" s="146"/>
      <c r="C116" s="135"/>
      <c r="D116" s="119" t="s">
        <v>51</v>
      </c>
      <c r="E116" s="120"/>
      <c r="F116" s="106">
        <f>$B$114-F114-F115</f>
        <v>0</v>
      </c>
      <c r="G116" s="107">
        <f>F116+$C$114*2-G114-G115</f>
        <v>0</v>
      </c>
      <c r="H116" s="107">
        <f t="shared" ref="H116:AC116" si="38">G116+$C$114*2-H114-H115</f>
        <v>0</v>
      </c>
      <c r="I116" s="107">
        <f t="shared" si="38"/>
        <v>0</v>
      </c>
      <c r="J116" s="107">
        <f t="shared" si="38"/>
        <v>0</v>
      </c>
      <c r="K116" s="107">
        <f t="shared" si="38"/>
        <v>0</v>
      </c>
      <c r="L116" s="107">
        <f t="shared" si="38"/>
        <v>0</v>
      </c>
      <c r="M116" s="107">
        <f t="shared" si="38"/>
        <v>0</v>
      </c>
      <c r="N116" s="107">
        <f t="shared" si="38"/>
        <v>0</v>
      </c>
      <c r="O116" s="107">
        <f t="shared" si="38"/>
        <v>0</v>
      </c>
      <c r="P116" s="107">
        <f t="shared" si="38"/>
        <v>0</v>
      </c>
      <c r="Q116" s="107">
        <f t="shared" si="38"/>
        <v>0</v>
      </c>
      <c r="R116" s="107">
        <f t="shared" si="38"/>
        <v>0</v>
      </c>
      <c r="S116" s="107">
        <f t="shared" si="38"/>
        <v>0</v>
      </c>
      <c r="T116" s="107">
        <f t="shared" si="38"/>
        <v>0</v>
      </c>
      <c r="U116" s="107">
        <f t="shared" si="38"/>
        <v>0</v>
      </c>
      <c r="V116" s="107">
        <f t="shared" si="38"/>
        <v>0</v>
      </c>
      <c r="W116" s="107">
        <f t="shared" si="38"/>
        <v>0</v>
      </c>
      <c r="X116" s="107">
        <f t="shared" si="38"/>
        <v>0</v>
      </c>
      <c r="Y116" s="107">
        <f t="shared" si="38"/>
        <v>0</v>
      </c>
      <c r="Z116" s="107">
        <f t="shared" si="38"/>
        <v>0</v>
      </c>
      <c r="AA116" s="107">
        <f t="shared" si="38"/>
        <v>0</v>
      </c>
      <c r="AB116" s="107">
        <f t="shared" si="38"/>
        <v>0</v>
      </c>
      <c r="AC116" s="107">
        <f t="shared" si="38"/>
        <v>0</v>
      </c>
      <c r="AD116" s="107">
        <f>AC116+$C$114*2-AD114-AD115</f>
        <v>0</v>
      </c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</row>
    <row r="117" spans="1:107" s="27" customFormat="1" ht="13.5" thickBot="1" x14ac:dyDescent="0.25">
      <c r="A117" s="170" t="s">
        <v>23</v>
      </c>
      <c r="B117" s="144">
        <v>711</v>
      </c>
      <c r="C117" s="168">
        <v>400</v>
      </c>
      <c r="D117" s="103">
        <f>SUM(F117:AD117)</f>
        <v>3400</v>
      </c>
      <c r="E117" s="72" t="s">
        <v>52</v>
      </c>
      <c r="F117" s="73"/>
      <c r="G117" s="74"/>
      <c r="H117" s="73">
        <f>1000</f>
        <v>1000</v>
      </c>
      <c r="I117" s="74">
        <f>1400</f>
        <v>1400</v>
      </c>
      <c r="J117" s="73">
        <f>1000</f>
        <v>1000</v>
      </c>
      <c r="K117" s="75"/>
      <c r="L117" s="76"/>
      <c r="M117" s="76"/>
      <c r="N117" s="76"/>
      <c r="O117" s="76"/>
      <c r="P117" s="8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7"/>
      <c r="AC117" s="73"/>
      <c r="AD117" s="73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</row>
    <row r="118" spans="1:107" x14ac:dyDescent="0.2">
      <c r="A118" s="171"/>
      <c r="B118" s="145"/>
      <c r="C118" s="169"/>
      <c r="D118" s="25">
        <f>SUM(F118:AD118)</f>
        <v>5000</v>
      </c>
      <c r="E118" s="24" t="s">
        <v>53</v>
      </c>
      <c r="F118" s="56"/>
      <c r="G118" s="63"/>
      <c r="H118" s="56"/>
      <c r="I118" s="63"/>
      <c r="J118" s="56"/>
      <c r="K118" s="49"/>
      <c r="L118" s="3">
        <f>5000</f>
        <v>5000</v>
      </c>
      <c r="M118" s="3"/>
      <c r="N118" s="3"/>
      <c r="O118" s="3"/>
      <c r="P118" s="4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5"/>
      <c r="AC118" s="56"/>
      <c r="AD118" s="56"/>
    </row>
    <row r="119" spans="1:107" s="28" customFormat="1" ht="13.5" thickBot="1" x14ac:dyDescent="0.25">
      <c r="A119" s="172"/>
      <c r="B119" s="146"/>
      <c r="C119" s="135"/>
      <c r="D119" s="119" t="s">
        <v>51</v>
      </c>
      <c r="E119" s="120"/>
      <c r="F119" s="106">
        <f>$B$117-F117-F118</f>
        <v>711</v>
      </c>
      <c r="G119" s="107">
        <f>F119+$C$117*2-G117-G118</f>
        <v>1511</v>
      </c>
      <c r="H119" s="107">
        <f t="shared" ref="H119:AC119" si="39">G119+$C$117*2-H117-H118</f>
        <v>1311</v>
      </c>
      <c r="I119" s="107">
        <f t="shared" si="39"/>
        <v>711</v>
      </c>
      <c r="J119" s="107">
        <f t="shared" si="39"/>
        <v>511</v>
      </c>
      <c r="K119" s="107">
        <f t="shared" si="39"/>
        <v>1311</v>
      </c>
      <c r="L119" s="107">
        <f t="shared" si="39"/>
        <v>-2889</v>
      </c>
      <c r="M119" s="107">
        <f t="shared" si="39"/>
        <v>-2089</v>
      </c>
      <c r="N119" s="107">
        <f t="shared" si="39"/>
        <v>-1289</v>
      </c>
      <c r="O119" s="107">
        <f t="shared" si="39"/>
        <v>-489</v>
      </c>
      <c r="P119" s="107">
        <f t="shared" si="39"/>
        <v>311</v>
      </c>
      <c r="Q119" s="107">
        <f t="shared" si="39"/>
        <v>1111</v>
      </c>
      <c r="R119" s="107">
        <f t="shared" si="39"/>
        <v>1911</v>
      </c>
      <c r="S119" s="107">
        <f t="shared" si="39"/>
        <v>2711</v>
      </c>
      <c r="T119" s="107">
        <f t="shared" si="39"/>
        <v>3511</v>
      </c>
      <c r="U119" s="107">
        <f t="shared" si="39"/>
        <v>4311</v>
      </c>
      <c r="V119" s="107">
        <f t="shared" si="39"/>
        <v>5111</v>
      </c>
      <c r="W119" s="107">
        <f t="shared" si="39"/>
        <v>5911</v>
      </c>
      <c r="X119" s="107">
        <f t="shared" si="39"/>
        <v>6711</v>
      </c>
      <c r="Y119" s="107">
        <f t="shared" si="39"/>
        <v>7511</v>
      </c>
      <c r="Z119" s="107">
        <f t="shared" si="39"/>
        <v>8311</v>
      </c>
      <c r="AA119" s="107">
        <f t="shared" si="39"/>
        <v>9111</v>
      </c>
      <c r="AB119" s="107">
        <f t="shared" si="39"/>
        <v>9911</v>
      </c>
      <c r="AC119" s="107">
        <f t="shared" si="39"/>
        <v>10711</v>
      </c>
      <c r="AD119" s="107">
        <f>AC119+$C$117*2-AD117-AD118</f>
        <v>11511</v>
      </c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</row>
    <row r="120" spans="1:107" s="27" customFormat="1" ht="13.5" thickBot="1" x14ac:dyDescent="0.25">
      <c r="A120" s="170" t="s">
        <v>21</v>
      </c>
      <c r="B120" s="144">
        <v>0</v>
      </c>
      <c r="C120" s="133">
        <v>0</v>
      </c>
      <c r="D120" s="103">
        <f>SUM(F120:AD120)</f>
        <v>440</v>
      </c>
      <c r="E120" s="72" t="s">
        <v>52</v>
      </c>
      <c r="F120" s="73"/>
      <c r="G120" s="74">
        <f>200</f>
        <v>200</v>
      </c>
      <c r="H120" s="73"/>
      <c r="I120" s="74">
        <f>240</f>
        <v>240</v>
      </c>
      <c r="J120" s="73"/>
      <c r="K120" s="75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7"/>
      <c r="AC120" s="73"/>
      <c r="AD120" s="73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</row>
    <row r="121" spans="1:107" x14ac:dyDescent="0.2">
      <c r="A121" s="171"/>
      <c r="B121" s="145"/>
      <c r="C121" s="134"/>
      <c r="D121" s="25">
        <f>SUM(F121:AD121)</f>
        <v>0</v>
      </c>
      <c r="E121" s="24" t="s">
        <v>53</v>
      </c>
      <c r="F121" s="56"/>
      <c r="G121" s="63"/>
      <c r="H121" s="56"/>
      <c r="I121" s="63"/>
      <c r="J121" s="56"/>
      <c r="K121" s="49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5"/>
      <c r="AC121" s="56"/>
      <c r="AD121" s="56"/>
    </row>
    <row r="122" spans="1:107" s="28" customFormat="1" ht="13.5" thickBot="1" x14ac:dyDescent="0.25">
      <c r="A122" s="172"/>
      <c r="B122" s="146"/>
      <c r="C122" s="135"/>
      <c r="D122" s="119" t="s">
        <v>51</v>
      </c>
      <c r="E122" s="120"/>
      <c r="F122" s="106">
        <f>$B$120-F120-F121</f>
        <v>0</v>
      </c>
      <c r="G122" s="107">
        <f>F122+$C$120*2-G120-G121</f>
        <v>-200</v>
      </c>
      <c r="H122" s="107">
        <f t="shared" ref="H122:AC122" si="40">G122+$C$120*2-H120-H121</f>
        <v>-200</v>
      </c>
      <c r="I122" s="107">
        <f t="shared" si="40"/>
        <v>-440</v>
      </c>
      <c r="J122" s="107">
        <f t="shared" si="40"/>
        <v>-440</v>
      </c>
      <c r="K122" s="107">
        <f t="shared" si="40"/>
        <v>-440</v>
      </c>
      <c r="L122" s="107">
        <f t="shared" si="40"/>
        <v>-440</v>
      </c>
      <c r="M122" s="107">
        <f t="shared" si="40"/>
        <v>-440</v>
      </c>
      <c r="N122" s="107">
        <f t="shared" si="40"/>
        <v>-440</v>
      </c>
      <c r="O122" s="107">
        <f t="shared" si="40"/>
        <v>-440</v>
      </c>
      <c r="P122" s="107">
        <f t="shared" si="40"/>
        <v>-440</v>
      </c>
      <c r="Q122" s="107">
        <f t="shared" si="40"/>
        <v>-440</v>
      </c>
      <c r="R122" s="107">
        <f t="shared" si="40"/>
        <v>-440</v>
      </c>
      <c r="S122" s="107">
        <f t="shared" si="40"/>
        <v>-440</v>
      </c>
      <c r="T122" s="107">
        <f t="shared" si="40"/>
        <v>-440</v>
      </c>
      <c r="U122" s="107">
        <f t="shared" si="40"/>
        <v>-440</v>
      </c>
      <c r="V122" s="107">
        <f t="shared" si="40"/>
        <v>-440</v>
      </c>
      <c r="W122" s="107">
        <f t="shared" si="40"/>
        <v>-440</v>
      </c>
      <c r="X122" s="107">
        <f t="shared" si="40"/>
        <v>-440</v>
      </c>
      <c r="Y122" s="107">
        <f t="shared" si="40"/>
        <v>-440</v>
      </c>
      <c r="Z122" s="107">
        <f t="shared" si="40"/>
        <v>-440</v>
      </c>
      <c r="AA122" s="107">
        <f t="shared" si="40"/>
        <v>-440</v>
      </c>
      <c r="AB122" s="107">
        <f t="shared" si="40"/>
        <v>-440</v>
      </c>
      <c r="AC122" s="107">
        <f t="shared" si="40"/>
        <v>-440</v>
      </c>
      <c r="AD122" s="107">
        <f>AC122+$C$120*2-AD120-AD121</f>
        <v>-440</v>
      </c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</row>
    <row r="123" spans="1:107" s="27" customFormat="1" ht="13.5" thickBot="1" x14ac:dyDescent="0.25">
      <c r="A123" s="170" t="s">
        <v>24</v>
      </c>
      <c r="B123" s="144">
        <v>1914</v>
      </c>
      <c r="C123" s="133">
        <v>500</v>
      </c>
      <c r="D123" s="103">
        <f>SUM(F123:AD123)</f>
        <v>4000</v>
      </c>
      <c r="E123" s="72" t="s">
        <v>52</v>
      </c>
      <c r="F123" s="73"/>
      <c r="G123" s="74"/>
      <c r="H123" s="73"/>
      <c r="I123" s="74"/>
      <c r="J123" s="73"/>
      <c r="K123" s="75"/>
      <c r="L123" s="76">
        <f>4000</f>
        <v>4000</v>
      </c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7"/>
      <c r="AC123" s="73"/>
      <c r="AD123" s="7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</row>
    <row r="124" spans="1:107" x14ac:dyDescent="0.2">
      <c r="A124" s="171"/>
      <c r="B124" s="145"/>
      <c r="C124" s="134"/>
      <c r="D124" s="25">
        <f>SUM(F124:AD124)</f>
        <v>0</v>
      </c>
      <c r="E124" s="24" t="s">
        <v>53</v>
      </c>
      <c r="F124" s="56"/>
      <c r="G124" s="63"/>
      <c r="H124" s="56"/>
      <c r="I124" s="63"/>
      <c r="J124" s="56"/>
      <c r="K124" s="49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5"/>
      <c r="AC124" s="56"/>
      <c r="AD124" s="56"/>
    </row>
    <row r="125" spans="1:107" s="28" customFormat="1" ht="13.5" thickBot="1" x14ac:dyDescent="0.25">
      <c r="A125" s="172"/>
      <c r="B125" s="146"/>
      <c r="C125" s="135"/>
      <c r="D125" s="119" t="s">
        <v>51</v>
      </c>
      <c r="E125" s="120"/>
      <c r="F125" s="106">
        <f>$B$123-F123-F124</f>
        <v>1914</v>
      </c>
      <c r="G125" s="107">
        <f>F125+$C$123*2-G123-G124</f>
        <v>2914</v>
      </c>
      <c r="H125" s="107">
        <f t="shared" ref="H125:AC125" si="41">G125+$C$123*2-H123-H124</f>
        <v>3914</v>
      </c>
      <c r="I125" s="107">
        <f t="shared" si="41"/>
        <v>4914</v>
      </c>
      <c r="J125" s="107">
        <f t="shared" si="41"/>
        <v>5914</v>
      </c>
      <c r="K125" s="107">
        <f t="shared" si="41"/>
        <v>6914</v>
      </c>
      <c r="L125" s="107">
        <f t="shared" si="41"/>
        <v>3914</v>
      </c>
      <c r="M125" s="107">
        <f t="shared" si="41"/>
        <v>4914</v>
      </c>
      <c r="N125" s="107">
        <f t="shared" si="41"/>
        <v>5914</v>
      </c>
      <c r="O125" s="107">
        <f t="shared" si="41"/>
        <v>6914</v>
      </c>
      <c r="P125" s="107">
        <f t="shared" si="41"/>
        <v>7914</v>
      </c>
      <c r="Q125" s="107">
        <f t="shared" si="41"/>
        <v>8914</v>
      </c>
      <c r="R125" s="107">
        <f t="shared" si="41"/>
        <v>9914</v>
      </c>
      <c r="S125" s="107">
        <f t="shared" si="41"/>
        <v>10914</v>
      </c>
      <c r="T125" s="107">
        <f t="shared" si="41"/>
        <v>11914</v>
      </c>
      <c r="U125" s="107">
        <f t="shared" si="41"/>
        <v>12914</v>
      </c>
      <c r="V125" s="107">
        <f t="shared" si="41"/>
        <v>13914</v>
      </c>
      <c r="W125" s="107">
        <f t="shared" si="41"/>
        <v>14914</v>
      </c>
      <c r="X125" s="107">
        <f t="shared" si="41"/>
        <v>15914</v>
      </c>
      <c r="Y125" s="107">
        <f t="shared" si="41"/>
        <v>16914</v>
      </c>
      <c r="Z125" s="107">
        <f t="shared" si="41"/>
        <v>17914</v>
      </c>
      <c r="AA125" s="107">
        <f t="shared" si="41"/>
        <v>18914</v>
      </c>
      <c r="AB125" s="107">
        <f t="shared" si="41"/>
        <v>19914</v>
      </c>
      <c r="AC125" s="107">
        <f t="shared" si="41"/>
        <v>20914</v>
      </c>
      <c r="AD125" s="107">
        <f>AC125+$C$123*2-AD123-AD124</f>
        <v>21914</v>
      </c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</row>
    <row r="126" spans="1:107" s="27" customFormat="1" ht="13.5" thickBot="1" x14ac:dyDescent="0.25">
      <c r="A126" s="170" t="s">
        <v>49</v>
      </c>
      <c r="B126" s="144">
        <v>0</v>
      </c>
      <c r="C126" s="133">
        <v>0</v>
      </c>
      <c r="D126" s="103">
        <f>SUM(F126:AD126)</f>
        <v>0</v>
      </c>
      <c r="E126" s="72" t="s">
        <v>52</v>
      </c>
      <c r="F126" s="73"/>
      <c r="G126" s="74"/>
      <c r="H126" s="73"/>
      <c r="I126" s="74"/>
      <c r="J126" s="73"/>
      <c r="K126" s="75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7"/>
      <c r="AC126" s="73"/>
      <c r="AD126" s="73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</row>
    <row r="127" spans="1:107" x14ac:dyDescent="0.2">
      <c r="A127" s="171"/>
      <c r="B127" s="145"/>
      <c r="C127" s="134"/>
      <c r="D127" s="25">
        <f>SUM(F127:AD127)</f>
        <v>0</v>
      </c>
      <c r="E127" s="24" t="s">
        <v>53</v>
      </c>
      <c r="F127" s="56"/>
      <c r="G127" s="63"/>
      <c r="H127" s="56"/>
      <c r="I127" s="63"/>
      <c r="J127" s="56"/>
      <c r="K127" s="49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5"/>
      <c r="AC127" s="56"/>
      <c r="AD127" s="56"/>
    </row>
    <row r="128" spans="1:107" s="28" customFormat="1" ht="13.5" thickBot="1" x14ac:dyDescent="0.25">
      <c r="A128" s="172"/>
      <c r="B128" s="146"/>
      <c r="C128" s="135"/>
      <c r="D128" s="119" t="s">
        <v>51</v>
      </c>
      <c r="E128" s="120"/>
      <c r="F128" s="106">
        <f>$B$126-F126-F127</f>
        <v>0</v>
      </c>
      <c r="G128" s="107">
        <f>F128+$C$126*2-G126-G127</f>
        <v>0</v>
      </c>
      <c r="H128" s="107">
        <f t="shared" ref="H128:AC128" si="42">G128+$C$126*2-H126-H127</f>
        <v>0</v>
      </c>
      <c r="I128" s="107">
        <f t="shared" si="42"/>
        <v>0</v>
      </c>
      <c r="J128" s="107">
        <f t="shared" si="42"/>
        <v>0</v>
      </c>
      <c r="K128" s="107">
        <f t="shared" si="42"/>
        <v>0</v>
      </c>
      <c r="L128" s="107">
        <f t="shared" si="42"/>
        <v>0</v>
      </c>
      <c r="M128" s="107">
        <f t="shared" si="42"/>
        <v>0</v>
      </c>
      <c r="N128" s="107">
        <f t="shared" si="42"/>
        <v>0</v>
      </c>
      <c r="O128" s="107">
        <f t="shared" si="42"/>
        <v>0</v>
      </c>
      <c r="P128" s="107">
        <f t="shared" si="42"/>
        <v>0</v>
      </c>
      <c r="Q128" s="107">
        <f t="shared" si="42"/>
        <v>0</v>
      </c>
      <c r="R128" s="107">
        <f t="shared" si="42"/>
        <v>0</v>
      </c>
      <c r="S128" s="107">
        <f t="shared" si="42"/>
        <v>0</v>
      </c>
      <c r="T128" s="107">
        <f t="shared" si="42"/>
        <v>0</v>
      </c>
      <c r="U128" s="107">
        <f t="shared" si="42"/>
        <v>0</v>
      </c>
      <c r="V128" s="107">
        <f t="shared" si="42"/>
        <v>0</v>
      </c>
      <c r="W128" s="107">
        <f t="shared" si="42"/>
        <v>0</v>
      </c>
      <c r="X128" s="107">
        <f t="shared" si="42"/>
        <v>0</v>
      </c>
      <c r="Y128" s="107">
        <f t="shared" si="42"/>
        <v>0</v>
      </c>
      <c r="Z128" s="107">
        <f t="shared" si="42"/>
        <v>0</v>
      </c>
      <c r="AA128" s="107">
        <f t="shared" si="42"/>
        <v>0</v>
      </c>
      <c r="AB128" s="107">
        <f t="shared" si="42"/>
        <v>0</v>
      </c>
      <c r="AC128" s="107">
        <f t="shared" si="42"/>
        <v>0</v>
      </c>
      <c r="AD128" s="107">
        <f>AC128+$C$126*2-AD126-AD127</f>
        <v>0</v>
      </c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</row>
    <row r="129" spans="1:107" s="27" customFormat="1" ht="12.75" customHeight="1" thickBot="1" x14ac:dyDescent="0.25">
      <c r="A129" s="170" t="s">
        <v>10</v>
      </c>
      <c r="B129" s="144">
        <v>1957</v>
      </c>
      <c r="C129" s="133">
        <v>950</v>
      </c>
      <c r="D129" s="103">
        <f>SUM(F129:AD129)</f>
        <v>55000</v>
      </c>
      <c r="E129" s="72" t="s">
        <v>52</v>
      </c>
      <c r="F129" s="73"/>
      <c r="G129" s="74"/>
      <c r="H129" s="73">
        <f>3000+10000+1250</f>
        <v>14250</v>
      </c>
      <c r="I129" s="74">
        <f>1500+2250</f>
        <v>3750</v>
      </c>
      <c r="J129" s="73"/>
      <c r="K129" s="75"/>
      <c r="L129" s="76">
        <f>10250+5000+2000</f>
        <v>17250</v>
      </c>
      <c r="M129" s="76">
        <f>1500</f>
        <v>1500</v>
      </c>
      <c r="N129" s="76">
        <f>1250+5000</f>
        <v>6250</v>
      </c>
      <c r="O129" s="76"/>
      <c r="P129" s="76">
        <f>1000</f>
        <v>1000</v>
      </c>
      <c r="Q129" s="76"/>
      <c r="R129" s="76"/>
      <c r="S129" s="76"/>
      <c r="T129" s="76"/>
      <c r="U129" s="76"/>
      <c r="V129" s="76">
        <f>6000+5000</f>
        <v>11000</v>
      </c>
      <c r="W129" s="76"/>
      <c r="X129" s="76"/>
      <c r="Y129" s="76"/>
      <c r="Z129" s="76"/>
      <c r="AA129" s="76"/>
      <c r="AB129" s="77"/>
      <c r="AC129" s="73"/>
      <c r="AD129" s="73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</row>
    <row r="130" spans="1:107" ht="12.75" customHeight="1" x14ac:dyDescent="0.2">
      <c r="A130" s="171"/>
      <c r="B130" s="145"/>
      <c r="C130" s="134"/>
      <c r="D130" s="25">
        <f>SUM(F130:AD130)</f>
        <v>2000</v>
      </c>
      <c r="E130" s="24" t="s">
        <v>53</v>
      </c>
      <c r="F130" s="56"/>
      <c r="G130" s="63"/>
      <c r="H130" s="56"/>
      <c r="I130" s="63"/>
      <c r="J130" s="56"/>
      <c r="K130" s="49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>
        <f>2000</f>
        <v>2000</v>
      </c>
      <c r="W130" s="3"/>
      <c r="X130" s="3"/>
      <c r="Y130" s="3"/>
      <c r="Z130" s="3"/>
      <c r="AA130" s="3"/>
      <c r="AB130" s="5"/>
      <c r="AC130" s="56"/>
      <c r="AD130" s="56"/>
    </row>
    <row r="131" spans="1:107" s="28" customFormat="1" ht="13.5" thickBot="1" x14ac:dyDescent="0.25">
      <c r="A131" s="172"/>
      <c r="B131" s="146"/>
      <c r="C131" s="135"/>
      <c r="D131" s="119" t="s">
        <v>51</v>
      </c>
      <c r="E131" s="120"/>
      <c r="F131" s="106">
        <f>$B$129+B131-F129-F130</f>
        <v>1957</v>
      </c>
      <c r="G131" s="107">
        <f>F131+$C$129*2-G129-G130</f>
        <v>3857</v>
      </c>
      <c r="H131" s="107">
        <f t="shared" ref="H131:AC131" si="43">G131+$C$129*2-H129-H130</f>
        <v>-8493</v>
      </c>
      <c r="I131" s="107">
        <f t="shared" si="43"/>
        <v>-10343</v>
      </c>
      <c r="J131" s="107">
        <f t="shared" si="43"/>
        <v>-8443</v>
      </c>
      <c r="K131" s="107">
        <f t="shared" si="43"/>
        <v>-6543</v>
      </c>
      <c r="L131" s="107">
        <f t="shared" si="43"/>
        <v>-21893</v>
      </c>
      <c r="M131" s="107">
        <f t="shared" si="43"/>
        <v>-21493</v>
      </c>
      <c r="N131" s="107">
        <f t="shared" si="43"/>
        <v>-25843</v>
      </c>
      <c r="O131" s="107">
        <f t="shared" si="43"/>
        <v>-23943</v>
      </c>
      <c r="P131" s="107">
        <f t="shared" si="43"/>
        <v>-23043</v>
      </c>
      <c r="Q131" s="107">
        <f t="shared" si="43"/>
        <v>-21143</v>
      </c>
      <c r="R131" s="107">
        <f t="shared" si="43"/>
        <v>-19243</v>
      </c>
      <c r="S131" s="107">
        <f t="shared" si="43"/>
        <v>-17343</v>
      </c>
      <c r="T131" s="107">
        <f t="shared" si="43"/>
        <v>-15443</v>
      </c>
      <c r="U131" s="107">
        <f t="shared" si="43"/>
        <v>-13543</v>
      </c>
      <c r="V131" s="107">
        <f t="shared" si="43"/>
        <v>-24643</v>
      </c>
      <c r="W131" s="107">
        <f t="shared" si="43"/>
        <v>-22743</v>
      </c>
      <c r="X131" s="107">
        <f t="shared" si="43"/>
        <v>-20843</v>
      </c>
      <c r="Y131" s="107">
        <f t="shared" si="43"/>
        <v>-18943</v>
      </c>
      <c r="Z131" s="107">
        <f t="shared" si="43"/>
        <v>-17043</v>
      </c>
      <c r="AA131" s="107">
        <f t="shared" si="43"/>
        <v>-15143</v>
      </c>
      <c r="AB131" s="107">
        <f t="shared" si="43"/>
        <v>-13243</v>
      </c>
      <c r="AC131" s="107">
        <f t="shared" si="43"/>
        <v>-11343</v>
      </c>
      <c r="AD131" s="107">
        <f>AC131+$C$129*2-AD129-AD130</f>
        <v>-9443</v>
      </c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</row>
    <row r="132" spans="1:107" s="27" customFormat="1" ht="12.75" customHeight="1" thickBot="1" x14ac:dyDescent="0.25">
      <c r="A132" s="170" t="s">
        <v>11</v>
      </c>
      <c r="B132" s="144">
        <v>2024</v>
      </c>
      <c r="C132" s="133">
        <v>500</v>
      </c>
      <c r="D132" s="103">
        <f>SUM(F132:AD132)</f>
        <v>37750</v>
      </c>
      <c r="E132" s="72" t="s">
        <v>52</v>
      </c>
      <c r="F132" s="73"/>
      <c r="G132" s="74"/>
      <c r="H132" s="73">
        <f>7250</f>
        <v>7250</v>
      </c>
      <c r="I132" s="74"/>
      <c r="J132" s="73"/>
      <c r="K132" s="75"/>
      <c r="L132" s="76"/>
      <c r="M132" s="76"/>
      <c r="N132" s="76">
        <f>1000</f>
        <v>1000</v>
      </c>
      <c r="O132" s="76"/>
      <c r="P132" s="76">
        <f>10000</f>
        <v>10000</v>
      </c>
      <c r="Q132" s="76"/>
      <c r="R132" s="76"/>
      <c r="S132" s="76"/>
      <c r="T132" s="76"/>
      <c r="U132" s="76"/>
      <c r="V132" s="76">
        <f>1500+7000+11000</f>
        <v>19500</v>
      </c>
      <c r="W132" s="76"/>
      <c r="X132" s="76"/>
      <c r="Y132" s="76"/>
      <c r="Z132" s="76"/>
      <c r="AA132" s="76"/>
      <c r="AB132" s="77"/>
      <c r="AC132" s="73"/>
      <c r="AD132" s="73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</row>
    <row r="133" spans="1:107" ht="12.75" customHeight="1" x14ac:dyDescent="0.2">
      <c r="A133" s="171"/>
      <c r="B133" s="145"/>
      <c r="C133" s="134"/>
      <c r="D133" s="25">
        <f>SUM(F133:AD133)</f>
        <v>3300</v>
      </c>
      <c r="E133" s="24" t="s">
        <v>53</v>
      </c>
      <c r="F133" s="56"/>
      <c r="G133" s="63">
        <f>300</f>
        <v>300</v>
      </c>
      <c r="H133" s="56"/>
      <c r="I133" s="63"/>
      <c r="J133" s="56"/>
      <c r="K133" s="49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>
        <f>3000</f>
        <v>3000</v>
      </c>
      <c r="W133" s="3"/>
      <c r="X133" s="3"/>
      <c r="Y133" s="3"/>
      <c r="Z133" s="3"/>
      <c r="AA133" s="3"/>
      <c r="AB133" s="5"/>
      <c r="AC133" s="56"/>
      <c r="AD133" s="56"/>
    </row>
    <row r="134" spans="1:107" s="28" customFormat="1" ht="13.5" thickBot="1" x14ac:dyDescent="0.25">
      <c r="A134" s="172"/>
      <c r="B134" s="146"/>
      <c r="C134" s="135"/>
      <c r="D134" s="119" t="s">
        <v>51</v>
      </c>
      <c r="E134" s="120"/>
      <c r="F134" s="106">
        <f>$B$132+B134-F132-F133</f>
        <v>2024</v>
      </c>
      <c r="G134" s="107">
        <f>F134+$C$132*2-G132-G133</f>
        <v>2724</v>
      </c>
      <c r="H134" s="107">
        <f t="shared" ref="H134:AC134" si="44">G134+$C$132*2-H132-H133</f>
        <v>-3526</v>
      </c>
      <c r="I134" s="107">
        <f t="shared" si="44"/>
        <v>-2526</v>
      </c>
      <c r="J134" s="107">
        <f t="shared" si="44"/>
        <v>-1526</v>
      </c>
      <c r="K134" s="107">
        <f t="shared" si="44"/>
        <v>-526</v>
      </c>
      <c r="L134" s="107">
        <f t="shared" si="44"/>
        <v>474</v>
      </c>
      <c r="M134" s="107">
        <f t="shared" si="44"/>
        <v>1474</v>
      </c>
      <c r="N134" s="107">
        <f t="shared" si="44"/>
        <v>1474</v>
      </c>
      <c r="O134" s="107">
        <f t="shared" si="44"/>
        <v>2474</v>
      </c>
      <c r="P134" s="107">
        <f t="shared" si="44"/>
        <v>-6526</v>
      </c>
      <c r="Q134" s="107">
        <f t="shared" si="44"/>
        <v>-5526</v>
      </c>
      <c r="R134" s="107">
        <f t="shared" si="44"/>
        <v>-4526</v>
      </c>
      <c r="S134" s="107">
        <f t="shared" si="44"/>
        <v>-3526</v>
      </c>
      <c r="T134" s="107">
        <f t="shared" si="44"/>
        <v>-2526</v>
      </c>
      <c r="U134" s="107">
        <f t="shared" si="44"/>
        <v>-1526</v>
      </c>
      <c r="V134" s="107">
        <f t="shared" si="44"/>
        <v>-23026</v>
      </c>
      <c r="W134" s="107">
        <f t="shared" si="44"/>
        <v>-22026</v>
      </c>
      <c r="X134" s="107">
        <f t="shared" si="44"/>
        <v>-21026</v>
      </c>
      <c r="Y134" s="107">
        <f t="shared" si="44"/>
        <v>-20026</v>
      </c>
      <c r="Z134" s="107">
        <f t="shared" si="44"/>
        <v>-19026</v>
      </c>
      <c r="AA134" s="107">
        <f t="shared" si="44"/>
        <v>-18026</v>
      </c>
      <c r="AB134" s="107">
        <f t="shared" si="44"/>
        <v>-17026</v>
      </c>
      <c r="AC134" s="107">
        <f t="shared" si="44"/>
        <v>-16026</v>
      </c>
      <c r="AD134" s="107">
        <f>AC134+$C$132*2-AD132-AD133</f>
        <v>-15026</v>
      </c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</row>
    <row r="135" spans="1:107" s="27" customFormat="1" ht="12.75" customHeight="1" thickBot="1" x14ac:dyDescent="0.25">
      <c r="A135" s="170" t="s">
        <v>12</v>
      </c>
      <c r="B135" s="144">
        <v>7085</v>
      </c>
      <c r="C135" s="133">
        <v>650</v>
      </c>
      <c r="D135" s="103">
        <f>SUM(F135:AD135)</f>
        <v>16000</v>
      </c>
      <c r="E135" s="72" t="s">
        <v>52</v>
      </c>
      <c r="F135" s="73"/>
      <c r="G135" s="74"/>
      <c r="H135" s="73">
        <f>1250</f>
        <v>1250</v>
      </c>
      <c r="I135" s="74">
        <f>1250</f>
        <v>1250</v>
      </c>
      <c r="J135" s="73"/>
      <c r="K135" s="75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>
        <f>6000+7500</f>
        <v>13500</v>
      </c>
      <c r="W135" s="76"/>
      <c r="X135" s="76"/>
      <c r="Y135" s="76"/>
      <c r="Z135" s="76"/>
      <c r="AA135" s="76"/>
      <c r="AB135" s="77"/>
      <c r="AC135" s="73"/>
      <c r="AD135" s="73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</row>
    <row r="136" spans="1:107" ht="12.75" customHeight="1" x14ac:dyDescent="0.2">
      <c r="A136" s="171"/>
      <c r="B136" s="145"/>
      <c r="C136" s="134"/>
      <c r="D136" s="25">
        <f>SUM(F136:AD136)</f>
        <v>0</v>
      </c>
      <c r="E136" s="24" t="s">
        <v>53</v>
      </c>
      <c r="F136" s="56"/>
      <c r="G136" s="63"/>
      <c r="H136" s="56"/>
      <c r="I136" s="63"/>
      <c r="J136" s="56"/>
      <c r="K136" s="49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5"/>
      <c r="AC136" s="56"/>
      <c r="AD136" s="56"/>
    </row>
    <row r="137" spans="1:107" s="28" customFormat="1" ht="13.5" thickBot="1" x14ac:dyDescent="0.25">
      <c r="A137" s="172"/>
      <c r="B137" s="146"/>
      <c r="C137" s="135"/>
      <c r="D137" s="119" t="s">
        <v>51</v>
      </c>
      <c r="E137" s="120"/>
      <c r="F137" s="106">
        <f>$B$135+B137-F135-F136</f>
        <v>7085</v>
      </c>
      <c r="G137" s="107">
        <f>F137+$C$135*2-G135-G136</f>
        <v>8385</v>
      </c>
      <c r="H137" s="107">
        <f t="shared" ref="H137:AC137" si="45">G137+$C$135*2-H135-H136</f>
        <v>8435</v>
      </c>
      <c r="I137" s="107">
        <f t="shared" si="45"/>
        <v>8485</v>
      </c>
      <c r="J137" s="107">
        <f t="shared" si="45"/>
        <v>9785</v>
      </c>
      <c r="K137" s="107">
        <f t="shared" si="45"/>
        <v>11085</v>
      </c>
      <c r="L137" s="107">
        <f t="shared" si="45"/>
        <v>12385</v>
      </c>
      <c r="M137" s="107">
        <f t="shared" si="45"/>
        <v>13685</v>
      </c>
      <c r="N137" s="107">
        <f t="shared" si="45"/>
        <v>14985</v>
      </c>
      <c r="O137" s="107">
        <f t="shared" si="45"/>
        <v>16285</v>
      </c>
      <c r="P137" s="107">
        <f t="shared" si="45"/>
        <v>17585</v>
      </c>
      <c r="Q137" s="107">
        <f t="shared" si="45"/>
        <v>18885</v>
      </c>
      <c r="R137" s="107">
        <f t="shared" si="45"/>
        <v>20185</v>
      </c>
      <c r="S137" s="107">
        <f t="shared" si="45"/>
        <v>21485</v>
      </c>
      <c r="T137" s="107">
        <f t="shared" si="45"/>
        <v>22785</v>
      </c>
      <c r="U137" s="107">
        <f t="shared" si="45"/>
        <v>24085</v>
      </c>
      <c r="V137" s="107">
        <f t="shared" si="45"/>
        <v>11885</v>
      </c>
      <c r="W137" s="107">
        <f t="shared" si="45"/>
        <v>13185</v>
      </c>
      <c r="X137" s="107">
        <f t="shared" si="45"/>
        <v>14485</v>
      </c>
      <c r="Y137" s="107">
        <f t="shared" si="45"/>
        <v>15785</v>
      </c>
      <c r="Z137" s="107">
        <f t="shared" si="45"/>
        <v>17085</v>
      </c>
      <c r="AA137" s="107">
        <f t="shared" si="45"/>
        <v>18385</v>
      </c>
      <c r="AB137" s="107">
        <f t="shared" si="45"/>
        <v>19685</v>
      </c>
      <c r="AC137" s="107">
        <f t="shared" si="45"/>
        <v>20985</v>
      </c>
      <c r="AD137" s="107">
        <f>AC137+$C$135*2-AD135-AD136</f>
        <v>22285</v>
      </c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</row>
    <row r="138" spans="1:107" s="27" customFormat="1" ht="12.75" customHeight="1" thickBot="1" x14ac:dyDescent="0.25">
      <c r="A138" s="170" t="s">
        <v>61</v>
      </c>
      <c r="B138" s="18">
        <v>0</v>
      </c>
      <c r="C138" s="133">
        <v>0</v>
      </c>
      <c r="D138" s="103">
        <f>SUM(F138:AD138)</f>
        <v>0</v>
      </c>
      <c r="E138" s="72" t="s">
        <v>52</v>
      </c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</row>
    <row r="139" spans="1:107" ht="12.75" customHeight="1" x14ac:dyDescent="0.2">
      <c r="A139" s="171"/>
      <c r="B139" s="7"/>
      <c r="C139" s="134"/>
      <c r="D139" s="25">
        <f>SUM(F139:AD139)</f>
        <v>0</v>
      </c>
      <c r="E139" s="24" t="s">
        <v>53</v>
      </c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</row>
    <row r="140" spans="1:107" s="28" customFormat="1" ht="13.5" thickBot="1" x14ac:dyDescent="0.25">
      <c r="A140" s="172"/>
      <c r="B140" s="11">
        <v>253</v>
      </c>
      <c r="C140" s="135"/>
      <c r="D140" s="119" t="s">
        <v>51</v>
      </c>
      <c r="E140" s="120"/>
      <c r="F140" s="106">
        <f>B138+B140-F138-F139</f>
        <v>253</v>
      </c>
      <c r="G140" s="106">
        <f>F140+$C$138*2-G138-G139</f>
        <v>253</v>
      </c>
      <c r="H140" s="106">
        <f t="shared" ref="H140:AC140" si="46">G140+$C$138*2-H138-H139</f>
        <v>253</v>
      </c>
      <c r="I140" s="106">
        <f t="shared" si="46"/>
        <v>253</v>
      </c>
      <c r="J140" s="106">
        <f t="shared" si="46"/>
        <v>253</v>
      </c>
      <c r="K140" s="106">
        <f t="shared" si="46"/>
        <v>253</v>
      </c>
      <c r="L140" s="106">
        <f t="shared" si="46"/>
        <v>253</v>
      </c>
      <c r="M140" s="106">
        <f t="shared" si="46"/>
        <v>253</v>
      </c>
      <c r="N140" s="106">
        <f t="shared" si="46"/>
        <v>253</v>
      </c>
      <c r="O140" s="106">
        <f t="shared" si="46"/>
        <v>253</v>
      </c>
      <c r="P140" s="106">
        <f t="shared" si="46"/>
        <v>253</v>
      </c>
      <c r="Q140" s="106">
        <f t="shared" si="46"/>
        <v>253</v>
      </c>
      <c r="R140" s="106">
        <f t="shared" si="46"/>
        <v>253</v>
      </c>
      <c r="S140" s="106">
        <f t="shared" si="46"/>
        <v>253</v>
      </c>
      <c r="T140" s="106">
        <f t="shared" si="46"/>
        <v>253</v>
      </c>
      <c r="U140" s="106">
        <f t="shared" si="46"/>
        <v>253</v>
      </c>
      <c r="V140" s="106">
        <f t="shared" si="46"/>
        <v>253</v>
      </c>
      <c r="W140" s="106">
        <f t="shared" si="46"/>
        <v>253</v>
      </c>
      <c r="X140" s="106">
        <f t="shared" si="46"/>
        <v>253</v>
      </c>
      <c r="Y140" s="106">
        <f t="shared" si="46"/>
        <v>253</v>
      </c>
      <c r="Z140" s="106">
        <f t="shared" si="46"/>
        <v>253</v>
      </c>
      <c r="AA140" s="106">
        <f t="shared" si="46"/>
        <v>253</v>
      </c>
      <c r="AB140" s="106">
        <f t="shared" si="46"/>
        <v>253</v>
      </c>
      <c r="AC140" s="106">
        <f t="shared" si="46"/>
        <v>253</v>
      </c>
      <c r="AD140" s="106">
        <f>AC140+$C$138*2-AD138-AD139</f>
        <v>253</v>
      </c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</row>
    <row r="141" spans="1:107" s="27" customFormat="1" ht="12.75" customHeight="1" thickBot="1" x14ac:dyDescent="0.25">
      <c r="A141" s="170" t="s">
        <v>31</v>
      </c>
      <c r="B141" s="18">
        <v>2770</v>
      </c>
      <c r="C141" s="133">
        <v>150</v>
      </c>
      <c r="D141" s="103">
        <f>SUM(F141:AD141)</f>
        <v>300</v>
      </c>
      <c r="E141" s="72" t="s">
        <v>52</v>
      </c>
      <c r="F141" s="73"/>
      <c r="G141" s="74"/>
      <c r="H141" s="73"/>
      <c r="I141" s="74"/>
      <c r="J141" s="73"/>
      <c r="K141" s="75"/>
      <c r="L141" s="76"/>
      <c r="M141" s="76"/>
      <c r="N141" s="76"/>
      <c r="O141" s="76">
        <f>300</f>
        <v>300</v>
      </c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7"/>
      <c r="AC141" s="73"/>
      <c r="AD141" s="73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</row>
    <row r="142" spans="1:107" ht="12.75" customHeight="1" x14ac:dyDescent="0.2">
      <c r="A142" s="171"/>
      <c r="B142" s="7"/>
      <c r="C142" s="134"/>
      <c r="D142" s="25">
        <f>SUM(F142:AD142)</f>
        <v>0</v>
      </c>
      <c r="E142" s="24" t="s">
        <v>53</v>
      </c>
      <c r="F142" s="56"/>
      <c r="G142" s="63"/>
      <c r="H142" s="56"/>
      <c r="I142" s="63"/>
      <c r="J142" s="56"/>
      <c r="K142" s="49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5"/>
      <c r="AC142" s="56"/>
      <c r="AD142" s="56"/>
    </row>
    <row r="143" spans="1:107" s="28" customFormat="1" ht="13.5" thickBot="1" x14ac:dyDescent="0.25">
      <c r="A143" s="172"/>
      <c r="B143" s="11">
        <v>4014</v>
      </c>
      <c r="C143" s="135"/>
      <c r="D143" s="119" t="s">
        <v>51</v>
      </c>
      <c r="E143" s="120"/>
      <c r="F143" s="106">
        <f>B141+B143-F141-F142</f>
        <v>6784</v>
      </c>
      <c r="G143" s="107">
        <f>F143+$C$141*2-G141-G142</f>
        <v>7084</v>
      </c>
      <c r="H143" s="107">
        <f t="shared" ref="H143:AC143" si="47">G143+$C$141*2-H141-H142</f>
        <v>7384</v>
      </c>
      <c r="I143" s="107">
        <f t="shared" si="47"/>
        <v>7684</v>
      </c>
      <c r="J143" s="107">
        <f t="shared" si="47"/>
        <v>7984</v>
      </c>
      <c r="K143" s="107">
        <f t="shared" si="47"/>
        <v>8284</v>
      </c>
      <c r="L143" s="107">
        <f t="shared" si="47"/>
        <v>8584</v>
      </c>
      <c r="M143" s="107">
        <f t="shared" si="47"/>
        <v>8884</v>
      </c>
      <c r="N143" s="107">
        <f t="shared" si="47"/>
        <v>9184</v>
      </c>
      <c r="O143" s="107">
        <f t="shared" si="47"/>
        <v>9184</v>
      </c>
      <c r="P143" s="107">
        <f t="shared" si="47"/>
        <v>9484</v>
      </c>
      <c r="Q143" s="107">
        <f t="shared" si="47"/>
        <v>9784</v>
      </c>
      <c r="R143" s="107">
        <f t="shared" si="47"/>
        <v>10084</v>
      </c>
      <c r="S143" s="107">
        <f t="shared" si="47"/>
        <v>10384</v>
      </c>
      <c r="T143" s="107">
        <f t="shared" si="47"/>
        <v>10684</v>
      </c>
      <c r="U143" s="107">
        <f t="shared" si="47"/>
        <v>10984</v>
      </c>
      <c r="V143" s="107">
        <f t="shared" si="47"/>
        <v>11284</v>
      </c>
      <c r="W143" s="107">
        <f t="shared" si="47"/>
        <v>11584</v>
      </c>
      <c r="X143" s="107">
        <f t="shared" si="47"/>
        <v>11884</v>
      </c>
      <c r="Y143" s="107">
        <f t="shared" si="47"/>
        <v>12184</v>
      </c>
      <c r="Z143" s="107">
        <f t="shared" si="47"/>
        <v>12484</v>
      </c>
      <c r="AA143" s="107">
        <f t="shared" si="47"/>
        <v>12784</v>
      </c>
      <c r="AB143" s="107">
        <f t="shared" si="47"/>
        <v>13084</v>
      </c>
      <c r="AC143" s="107">
        <f t="shared" si="47"/>
        <v>13384</v>
      </c>
      <c r="AD143" s="107">
        <f>AC143+$C$141*2-AD141-AD142</f>
        <v>13684</v>
      </c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</row>
    <row r="144" spans="1:107" s="27" customFormat="1" ht="13.5" thickBot="1" x14ac:dyDescent="0.25">
      <c r="A144" s="170" t="s">
        <v>32</v>
      </c>
      <c r="B144" s="18">
        <v>3430</v>
      </c>
      <c r="C144" s="133">
        <v>300</v>
      </c>
      <c r="D144" s="103">
        <f>SUM(F144:AD144)</f>
        <v>8100</v>
      </c>
      <c r="E144" s="72" t="s">
        <v>52</v>
      </c>
      <c r="F144" s="73"/>
      <c r="G144" s="74"/>
      <c r="H144" s="73">
        <f>3300</f>
        <v>3300</v>
      </c>
      <c r="I144" s="74"/>
      <c r="J144" s="73">
        <f>1500</f>
        <v>1500</v>
      </c>
      <c r="K144" s="75"/>
      <c r="L144" s="76"/>
      <c r="M144" s="76">
        <f>3000</f>
        <v>3000</v>
      </c>
      <c r="N144" s="76"/>
      <c r="O144" s="76">
        <f>300</f>
        <v>300</v>
      </c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7"/>
      <c r="AC144" s="73"/>
      <c r="AD144" s="73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</row>
    <row r="145" spans="1:107" x14ac:dyDescent="0.2">
      <c r="A145" s="171"/>
      <c r="B145" s="7"/>
      <c r="C145" s="134"/>
      <c r="D145" s="25">
        <f>SUM(F145:AD145)</f>
        <v>0</v>
      </c>
      <c r="E145" s="24" t="s">
        <v>53</v>
      </c>
      <c r="F145" s="56"/>
      <c r="G145" s="63"/>
      <c r="H145" s="56"/>
      <c r="I145" s="63"/>
      <c r="J145" s="56"/>
      <c r="K145" s="49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5"/>
      <c r="AC145" s="56"/>
      <c r="AD145" s="56"/>
    </row>
    <row r="146" spans="1:107" s="28" customFormat="1" ht="13.5" thickBot="1" x14ac:dyDescent="0.25">
      <c r="A146" s="172"/>
      <c r="B146" s="11">
        <v>858</v>
      </c>
      <c r="C146" s="135"/>
      <c r="D146" s="119" t="s">
        <v>51</v>
      </c>
      <c r="E146" s="120"/>
      <c r="F146" s="106">
        <f>$B$144+B146-F144-F145</f>
        <v>4288</v>
      </c>
      <c r="G146" s="107">
        <f>F146+$C$144*2-G144-G145</f>
        <v>4888</v>
      </c>
      <c r="H146" s="107">
        <f t="shared" ref="H146:AC146" si="48">G146+$C$144*2-H144-H145</f>
        <v>2188</v>
      </c>
      <c r="I146" s="107">
        <f t="shared" si="48"/>
        <v>2788</v>
      </c>
      <c r="J146" s="107">
        <f t="shared" si="48"/>
        <v>1888</v>
      </c>
      <c r="K146" s="107">
        <f t="shared" si="48"/>
        <v>2488</v>
      </c>
      <c r="L146" s="107">
        <f t="shared" si="48"/>
        <v>3088</v>
      </c>
      <c r="M146" s="107">
        <f t="shared" si="48"/>
        <v>688</v>
      </c>
      <c r="N146" s="107">
        <f t="shared" si="48"/>
        <v>1288</v>
      </c>
      <c r="O146" s="107">
        <f t="shared" si="48"/>
        <v>1588</v>
      </c>
      <c r="P146" s="107">
        <f t="shared" si="48"/>
        <v>2188</v>
      </c>
      <c r="Q146" s="107">
        <f t="shared" si="48"/>
        <v>2788</v>
      </c>
      <c r="R146" s="107">
        <f t="shared" si="48"/>
        <v>3388</v>
      </c>
      <c r="S146" s="107">
        <f t="shared" si="48"/>
        <v>3988</v>
      </c>
      <c r="T146" s="107">
        <f t="shared" si="48"/>
        <v>4588</v>
      </c>
      <c r="U146" s="107">
        <f t="shared" si="48"/>
        <v>5188</v>
      </c>
      <c r="V146" s="107">
        <f t="shared" si="48"/>
        <v>5788</v>
      </c>
      <c r="W146" s="107">
        <f t="shared" si="48"/>
        <v>6388</v>
      </c>
      <c r="X146" s="107">
        <f t="shared" si="48"/>
        <v>6988</v>
      </c>
      <c r="Y146" s="107">
        <f t="shared" si="48"/>
        <v>7588</v>
      </c>
      <c r="Z146" s="107">
        <f t="shared" si="48"/>
        <v>8188</v>
      </c>
      <c r="AA146" s="107">
        <f t="shared" si="48"/>
        <v>8788</v>
      </c>
      <c r="AB146" s="107">
        <f t="shared" si="48"/>
        <v>9388</v>
      </c>
      <c r="AC146" s="107">
        <f t="shared" si="48"/>
        <v>9988</v>
      </c>
      <c r="AD146" s="107">
        <f>AC146+$C$144*2-AD144-AD145</f>
        <v>10588</v>
      </c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</row>
    <row r="147" spans="1:107" s="27" customFormat="1" ht="13.5" thickBot="1" x14ac:dyDescent="0.25">
      <c r="A147" s="170" t="s">
        <v>43</v>
      </c>
      <c r="B147" s="18">
        <v>0</v>
      </c>
      <c r="C147" s="133">
        <v>0</v>
      </c>
      <c r="D147" s="103">
        <f>SUM(F147:AD147)</f>
        <v>1300</v>
      </c>
      <c r="E147" s="72" t="s">
        <v>52</v>
      </c>
      <c r="F147" s="73"/>
      <c r="G147" s="74"/>
      <c r="H147" s="73"/>
      <c r="I147" s="74"/>
      <c r="J147" s="73"/>
      <c r="K147" s="75"/>
      <c r="L147" s="76"/>
      <c r="M147" s="76"/>
      <c r="N147" s="76"/>
      <c r="O147" s="76">
        <f>1300</f>
        <v>1300</v>
      </c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7"/>
      <c r="AC147" s="73"/>
      <c r="AD147" s="73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</row>
    <row r="148" spans="1:107" x14ac:dyDescent="0.2">
      <c r="A148" s="171"/>
      <c r="B148" s="7"/>
      <c r="C148" s="134"/>
      <c r="D148" s="25">
        <f>SUM(F148:AD148)</f>
        <v>0</v>
      </c>
      <c r="E148" s="24" t="s">
        <v>53</v>
      </c>
      <c r="F148" s="56"/>
      <c r="G148" s="63"/>
      <c r="H148" s="56"/>
      <c r="I148" s="63"/>
      <c r="J148" s="56"/>
      <c r="K148" s="49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5"/>
      <c r="AC148" s="56"/>
      <c r="AD148" s="56"/>
    </row>
    <row r="149" spans="1:107" s="28" customFormat="1" ht="13.5" thickBot="1" x14ac:dyDescent="0.25">
      <c r="A149" s="172"/>
      <c r="B149" s="11">
        <v>4043</v>
      </c>
      <c r="C149" s="135"/>
      <c r="D149" s="119" t="s">
        <v>51</v>
      </c>
      <c r="E149" s="120"/>
      <c r="F149" s="106">
        <f>$B$147+B149-F147-F148</f>
        <v>4043</v>
      </c>
      <c r="G149" s="107">
        <f>F149+$C$147*2-G147-G148</f>
        <v>4043</v>
      </c>
      <c r="H149" s="107">
        <f t="shared" ref="H149:AC149" si="49">G149+$C$147*2-H147-H148</f>
        <v>4043</v>
      </c>
      <c r="I149" s="107">
        <f t="shared" si="49"/>
        <v>4043</v>
      </c>
      <c r="J149" s="107">
        <f t="shared" si="49"/>
        <v>4043</v>
      </c>
      <c r="K149" s="107">
        <f t="shared" si="49"/>
        <v>4043</v>
      </c>
      <c r="L149" s="107">
        <f t="shared" si="49"/>
        <v>4043</v>
      </c>
      <c r="M149" s="107">
        <f t="shared" si="49"/>
        <v>4043</v>
      </c>
      <c r="N149" s="107">
        <f t="shared" si="49"/>
        <v>4043</v>
      </c>
      <c r="O149" s="107">
        <f t="shared" si="49"/>
        <v>2743</v>
      </c>
      <c r="P149" s="107">
        <f t="shared" si="49"/>
        <v>2743</v>
      </c>
      <c r="Q149" s="107">
        <f t="shared" si="49"/>
        <v>2743</v>
      </c>
      <c r="R149" s="107">
        <f t="shared" si="49"/>
        <v>2743</v>
      </c>
      <c r="S149" s="107">
        <f t="shared" si="49"/>
        <v>2743</v>
      </c>
      <c r="T149" s="107">
        <f t="shared" si="49"/>
        <v>2743</v>
      </c>
      <c r="U149" s="107">
        <f t="shared" si="49"/>
        <v>2743</v>
      </c>
      <c r="V149" s="107">
        <f t="shared" si="49"/>
        <v>2743</v>
      </c>
      <c r="W149" s="107">
        <f t="shared" si="49"/>
        <v>2743</v>
      </c>
      <c r="X149" s="107">
        <f t="shared" si="49"/>
        <v>2743</v>
      </c>
      <c r="Y149" s="107">
        <f t="shared" si="49"/>
        <v>2743</v>
      </c>
      <c r="Z149" s="107">
        <f t="shared" si="49"/>
        <v>2743</v>
      </c>
      <c r="AA149" s="107">
        <f t="shared" si="49"/>
        <v>2743</v>
      </c>
      <c r="AB149" s="107">
        <f t="shared" si="49"/>
        <v>2743</v>
      </c>
      <c r="AC149" s="107">
        <f t="shared" si="49"/>
        <v>2743</v>
      </c>
      <c r="AD149" s="107">
        <f>AC149+$C$147*2-AD147-AD148</f>
        <v>2743</v>
      </c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</row>
    <row r="150" spans="1:107" s="27" customFormat="1" ht="13.5" thickBot="1" x14ac:dyDescent="0.25">
      <c r="A150" s="170" t="s">
        <v>33</v>
      </c>
      <c r="B150" s="18" t="s">
        <v>70</v>
      </c>
      <c r="C150" s="133">
        <v>150</v>
      </c>
      <c r="D150" s="103">
        <f>SUM(F150:AD150)</f>
        <v>150</v>
      </c>
      <c r="E150" s="72" t="s">
        <v>52</v>
      </c>
      <c r="F150" s="73"/>
      <c r="G150" s="74"/>
      <c r="H150" s="73">
        <f>150</f>
        <v>150</v>
      </c>
      <c r="I150" s="74"/>
      <c r="J150" s="73"/>
      <c r="K150" s="75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7"/>
      <c r="AC150" s="73"/>
      <c r="AD150" s="73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</row>
    <row r="151" spans="1:107" x14ac:dyDescent="0.2">
      <c r="A151" s="171"/>
      <c r="B151" s="7"/>
      <c r="C151" s="134"/>
      <c r="D151" s="25">
        <f>SUM(F151:AD151)</f>
        <v>0</v>
      </c>
      <c r="E151" s="24" t="s">
        <v>53</v>
      </c>
      <c r="F151" s="56"/>
      <c r="G151" s="63"/>
      <c r="H151" s="56"/>
      <c r="I151" s="63"/>
      <c r="J151" s="56"/>
      <c r="K151" s="49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5"/>
      <c r="AC151" s="56"/>
      <c r="AD151" s="56"/>
    </row>
    <row r="152" spans="1:107" s="28" customFormat="1" ht="13.5" thickBot="1" x14ac:dyDescent="0.25">
      <c r="A152" s="172"/>
      <c r="B152" s="11" t="s">
        <v>71</v>
      </c>
      <c r="C152" s="135"/>
      <c r="D152" s="119" t="s">
        <v>51</v>
      </c>
      <c r="E152" s="120"/>
      <c r="F152" s="106" t="e">
        <f>$B$150+B152-F150-F151</f>
        <v>#VALUE!</v>
      </c>
      <c r="G152" s="107" t="e">
        <f>F152+$C$150*2-G150-G151</f>
        <v>#VALUE!</v>
      </c>
      <c r="H152" s="107" t="e">
        <f t="shared" ref="H152:AC152" si="50">G152+$C$150*2-H150-H151</f>
        <v>#VALUE!</v>
      </c>
      <c r="I152" s="107" t="e">
        <f t="shared" si="50"/>
        <v>#VALUE!</v>
      </c>
      <c r="J152" s="107" t="e">
        <f t="shared" si="50"/>
        <v>#VALUE!</v>
      </c>
      <c r="K152" s="107" t="e">
        <f t="shared" si="50"/>
        <v>#VALUE!</v>
      </c>
      <c r="L152" s="107" t="e">
        <f t="shared" si="50"/>
        <v>#VALUE!</v>
      </c>
      <c r="M152" s="107" t="e">
        <f t="shared" si="50"/>
        <v>#VALUE!</v>
      </c>
      <c r="N152" s="107" t="e">
        <f t="shared" si="50"/>
        <v>#VALUE!</v>
      </c>
      <c r="O152" s="107" t="e">
        <f t="shared" si="50"/>
        <v>#VALUE!</v>
      </c>
      <c r="P152" s="107" t="e">
        <f t="shared" si="50"/>
        <v>#VALUE!</v>
      </c>
      <c r="Q152" s="107" t="e">
        <f t="shared" si="50"/>
        <v>#VALUE!</v>
      </c>
      <c r="R152" s="107" t="e">
        <f t="shared" si="50"/>
        <v>#VALUE!</v>
      </c>
      <c r="S152" s="107" t="e">
        <f t="shared" si="50"/>
        <v>#VALUE!</v>
      </c>
      <c r="T152" s="107" t="e">
        <f t="shared" si="50"/>
        <v>#VALUE!</v>
      </c>
      <c r="U152" s="107" t="e">
        <f t="shared" si="50"/>
        <v>#VALUE!</v>
      </c>
      <c r="V152" s="107" t="e">
        <f t="shared" si="50"/>
        <v>#VALUE!</v>
      </c>
      <c r="W152" s="107" t="e">
        <f t="shared" si="50"/>
        <v>#VALUE!</v>
      </c>
      <c r="X152" s="107" t="e">
        <f t="shared" si="50"/>
        <v>#VALUE!</v>
      </c>
      <c r="Y152" s="107" t="e">
        <f t="shared" si="50"/>
        <v>#VALUE!</v>
      </c>
      <c r="Z152" s="107" t="e">
        <f t="shared" si="50"/>
        <v>#VALUE!</v>
      </c>
      <c r="AA152" s="107" t="e">
        <f t="shared" si="50"/>
        <v>#VALUE!</v>
      </c>
      <c r="AB152" s="107" t="e">
        <f t="shared" si="50"/>
        <v>#VALUE!</v>
      </c>
      <c r="AC152" s="107" t="e">
        <f t="shared" si="50"/>
        <v>#VALUE!</v>
      </c>
      <c r="AD152" s="107" t="e">
        <f>AC152+$C$150*2-AD150-AD151</f>
        <v>#VALUE!</v>
      </c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</row>
    <row r="153" spans="1:107" s="27" customFormat="1" ht="13.5" thickBot="1" x14ac:dyDescent="0.25">
      <c r="A153" s="170" t="s">
        <v>25</v>
      </c>
      <c r="B153" s="144">
        <v>0</v>
      </c>
      <c r="C153" s="133">
        <v>0</v>
      </c>
      <c r="D153" s="103">
        <f>SUM(F153:AD153)</f>
        <v>1430</v>
      </c>
      <c r="E153" s="72" t="s">
        <v>52</v>
      </c>
      <c r="F153" s="73"/>
      <c r="G153" s="74"/>
      <c r="H153" s="73"/>
      <c r="I153" s="74"/>
      <c r="J153" s="73"/>
      <c r="K153" s="75"/>
      <c r="L153" s="76">
        <f>1130</f>
        <v>1130</v>
      </c>
      <c r="M153" s="76"/>
      <c r="N153" s="76"/>
      <c r="O153" s="76">
        <f>300</f>
        <v>300</v>
      </c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7"/>
      <c r="AC153" s="73"/>
      <c r="AD153" s="7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</row>
    <row r="154" spans="1:107" x14ac:dyDescent="0.2">
      <c r="A154" s="171"/>
      <c r="B154" s="145"/>
      <c r="C154" s="134"/>
      <c r="D154" s="25">
        <f>SUM(F154:AD154)</f>
        <v>0</v>
      </c>
      <c r="E154" s="24" t="s">
        <v>53</v>
      </c>
      <c r="F154" s="56"/>
      <c r="G154" s="63"/>
      <c r="H154" s="56"/>
      <c r="I154" s="63"/>
      <c r="J154" s="56"/>
      <c r="K154" s="49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5"/>
      <c r="AC154" s="56"/>
      <c r="AD154" s="56"/>
    </row>
    <row r="155" spans="1:107" s="28" customFormat="1" ht="13.5" thickBot="1" x14ac:dyDescent="0.25">
      <c r="A155" s="172"/>
      <c r="B155" s="146"/>
      <c r="C155" s="135"/>
      <c r="D155" s="119" t="s">
        <v>51</v>
      </c>
      <c r="E155" s="120"/>
      <c r="F155" s="106">
        <f>$B$153-F153-F154</f>
        <v>0</v>
      </c>
      <c r="G155" s="107">
        <f>F155+$C$153*2-G153-G154</f>
        <v>0</v>
      </c>
      <c r="H155" s="107">
        <f t="shared" ref="H155:AC155" si="51">G155+$C$153*2-H153-H154</f>
        <v>0</v>
      </c>
      <c r="I155" s="107">
        <f t="shared" si="51"/>
        <v>0</v>
      </c>
      <c r="J155" s="107">
        <f t="shared" si="51"/>
        <v>0</v>
      </c>
      <c r="K155" s="107">
        <f t="shared" si="51"/>
        <v>0</v>
      </c>
      <c r="L155" s="107">
        <f t="shared" si="51"/>
        <v>-1130</v>
      </c>
      <c r="M155" s="107">
        <f t="shared" si="51"/>
        <v>-1130</v>
      </c>
      <c r="N155" s="107">
        <f t="shared" si="51"/>
        <v>-1130</v>
      </c>
      <c r="O155" s="107">
        <f t="shared" si="51"/>
        <v>-1430</v>
      </c>
      <c r="P155" s="107">
        <f t="shared" si="51"/>
        <v>-1430</v>
      </c>
      <c r="Q155" s="107">
        <f t="shared" si="51"/>
        <v>-1430</v>
      </c>
      <c r="R155" s="107">
        <f t="shared" si="51"/>
        <v>-1430</v>
      </c>
      <c r="S155" s="107">
        <f t="shared" si="51"/>
        <v>-1430</v>
      </c>
      <c r="T155" s="107">
        <f t="shared" si="51"/>
        <v>-1430</v>
      </c>
      <c r="U155" s="107">
        <f t="shared" si="51"/>
        <v>-1430</v>
      </c>
      <c r="V155" s="107">
        <f t="shared" si="51"/>
        <v>-1430</v>
      </c>
      <c r="W155" s="107">
        <f t="shared" si="51"/>
        <v>-1430</v>
      </c>
      <c r="X155" s="107">
        <f t="shared" si="51"/>
        <v>-1430</v>
      </c>
      <c r="Y155" s="107">
        <f t="shared" si="51"/>
        <v>-1430</v>
      </c>
      <c r="Z155" s="107">
        <f t="shared" si="51"/>
        <v>-1430</v>
      </c>
      <c r="AA155" s="107">
        <f t="shared" si="51"/>
        <v>-1430</v>
      </c>
      <c r="AB155" s="107">
        <f t="shared" si="51"/>
        <v>-1430</v>
      </c>
      <c r="AC155" s="107">
        <f t="shared" si="51"/>
        <v>-1430</v>
      </c>
      <c r="AD155" s="107">
        <f>AC155+$C$153*2-AD153-AD154</f>
        <v>-1430</v>
      </c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</row>
    <row r="156" spans="1:107" s="27" customFormat="1" ht="13.5" thickBot="1" x14ac:dyDescent="0.25">
      <c r="A156" s="170" t="s">
        <v>26</v>
      </c>
      <c r="B156" s="144">
        <v>1068</v>
      </c>
      <c r="C156" s="168">
        <v>300</v>
      </c>
      <c r="D156" s="103">
        <f>SUM(F156:AD156)</f>
        <v>5900</v>
      </c>
      <c r="E156" s="72" t="s">
        <v>52</v>
      </c>
      <c r="F156" s="73"/>
      <c r="G156" s="74"/>
      <c r="H156" s="73">
        <f>3000</f>
        <v>3000</v>
      </c>
      <c r="I156" s="74"/>
      <c r="J156" s="73">
        <f>2900</f>
        <v>2900</v>
      </c>
      <c r="K156" s="75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7"/>
      <c r="AC156" s="73"/>
      <c r="AD156" s="73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</row>
    <row r="157" spans="1:107" x14ac:dyDescent="0.2">
      <c r="A157" s="171"/>
      <c r="B157" s="145"/>
      <c r="C157" s="169"/>
      <c r="D157" s="25">
        <f>SUM(F157:AD157)</f>
        <v>0</v>
      </c>
      <c r="E157" s="24" t="s">
        <v>53</v>
      </c>
      <c r="F157" s="56"/>
      <c r="G157" s="63"/>
      <c r="H157" s="56"/>
      <c r="I157" s="63"/>
      <c r="J157" s="56"/>
      <c r="K157" s="49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5"/>
      <c r="AC157" s="56"/>
      <c r="AD157" s="56"/>
    </row>
    <row r="158" spans="1:107" s="28" customFormat="1" ht="13.5" thickBot="1" x14ac:dyDescent="0.25">
      <c r="A158" s="172"/>
      <c r="B158" s="146"/>
      <c r="C158" s="135"/>
      <c r="D158" s="119" t="s">
        <v>51</v>
      </c>
      <c r="E158" s="120"/>
      <c r="F158" s="106">
        <f>$B$156-F156-F157</f>
        <v>1068</v>
      </c>
      <c r="G158" s="107">
        <f>F158+$C$156*2-G156-G157</f>
        <v>1668</v>
      </c>
      <c r="H158" s="107">
        <f t="shared" ref="H158:AC158" si="52">G158+$C$156*2-H156-H157</f>
        <v>-732</v>
      </c>
      <c r="I158" s="107">
        <f t="shared" si="52"/>
        <v>-132</v>
      </c>
      <c r="J158" s="107">
        <f t="shared" si="52"/>
        <v>-2432</v>
      </c>
      <c r="K158" s="107">
        <f t="shared" si="52"/>
        <v>-1832</v>
      </c>
      <c r="L158" s="107">
        <f t="shared" si="52"/>
        <v>-1232</v>
      </c>
      <c r="M158" s="107">
        <f t="shared" si="52"/>
        <v>-632</v>
      </c>
      <c r="N158" s="107">
        <f t="shared" si="52"/>
        <v>-32</v>
      </c>
      <c r="O158" s="107">
        <f t="shared" si="52"/>
        <v>568</v>
      </c>
      <c r="P158" s="107">
        <f t="shared" si="52"/>
        <v>1168</v>
      </c>
      <c r="Q158" s="107">
        <f t="shared" si="52"/>
        <v>1768</v>
      </c>
      <c r="R158" s="107">
        <f t="shared" si="52"/>
        <v>2368</v>
      </c>
      <c r="S158" s="107">
        <f t="shared" si="52"/>
        <v>2968</v>
      </c>
      <c r="T158" s="107">
        <f t="shared" si="52"/>
        <v>3568</v>
      </c>
      <c r="U158" s="107">
        <f t="shared" si="52"/>
        <v>4168</v>
      </c>
      <c r="V158" s="107">
        <f t="shared" si="52"/>
        <v>4768</v>
      </c>
      <c r="W158" s="107">
        <f t="shared" si="52"/>
        <v>5368</v>
      </c>
      <c r="X158" s="107">
        <f t="shared" si="52"/>
        <v>5968</v>
      </c>
      <c r="Y158" s="107">
        <f t="shared" si="52"/>
        <v>6568</v>
      </c>
      <c r="Z158" s="107">
        <f t="shared" si="52"/>
        <v>7168</v>
      </c>
      <c r="AA158" s="107">
        <f t="shared" si="52"/>
        <v>7768</v>
      </c>
      <c r="AB158" s="107">
        <f t="shared" si="52"/>
        <v>8368</v>
      </c>
      <c r="AC158" s="107">
        <f t="shared" si="52"/>
        <v>8968</v>
      </c>
      <c r="AD158" s="107">
        <f>AC158+$C$156*2-AD156-AD157</f>
        <v>9568</v>
      </c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</row>
    <row r="159" spans="1:107" s="27" customFormat="1" ht="13.5" thickBot="1" x14ac:dyDescent="0.25">
      <c r="A159" s="170" t="s">
        <v>27</v>
      </c>
      <c r="B159" s="144">
        <v>0</v>
      </c>
      <c r="C159" s="133">
        <v>0</v>
      </c>
      <c r="D159" s="103">
        <f>SUM(F159:AD159)</f>
        <v>5900</v>
      </c>
      <c r="E159" s="72" t="s">
        <v>52</v>
      </c>
      <c r="F159" s="73"/>
      <c r="G159" s="74"/>
      <c r="H159" s="73">
        <f>900</f>
        <v>900</v>
      </c>
      <c r="I159" s="74">
        <f>600+950</f>
        <v>1550</v>
      </c>
      <c r="J159" s="73"/>
      <c r="K159" s="75"/>
      <c r="L159" s="76">
        <f>3000</f>
        <v>3000</v>
      </c>
      <c r="M159" s="76"/>
      <c r="N159" s="76"/>
      <c r="O159" s="76">
        <f>450</f>
        <v>450</v>
      </c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7"/>
      <c r="AC159" s="73"/>
      <c r="AD159" s="73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</row>
    <row r="160" spans="1:107" x14ac:dyDescent="0.2">
      <c r="A160" s="171"/>
      <c r="B160" s="145"/>
      <c r="C160" s="134"/>
      <c r="D160" s="25">
        <f>SUM(F160:AD160)</f>
        <v>0</v>
      </c>
      <c r="E160" s="24" t="s">
        <v>53</v>
      </c>
      <c r="F160" s="56"/>
      <c r="G160" s="63"/>
      <c r="H160" s="56"/>
      <c r="I160" s="63"/>
      <c r="J160" s="56"/>
      <c r="K160" s="49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5"/>
      <c r="AC160" s="56"/>
      <c r="AD160" s="56"/>
    </row>
    <row r="161" spans="1:107" s="28" customFormat="1" ht="13.5" thickBot="1" x14ac:dyDescent="0.25">
      <c r="A161" s="172"/>
      <c r="B161" s="146"/>
      <c r="C161" s="135"/>
      <c r="D161" s="119" t="s">
        <v>51</v>
      </c>
      <c r="E161" s="120"/>
      <c r="F161" s="106">
        <f>$B$159-F159-F160</f>
        <v>0</v>
      </c>
      <c r="G161" s="107">
        <f>F161+$C$159*2-G159-G160</f>
        <v>0</v>
      </c>
      <c r="H161" s="107">
        <f t="shared" ref="H161:AC161" si="53">G161+$C$159*2-H159-H160</f>
        <v>-900</v>
      </c>
      <c r="I161" s="107">
        <f t="shared" si="53"/>
        <v>-2450</v>
      </c>
      <c r="J161" s="107">
        <f t="shared" si="53"/>
        <v>-2450</v>
      </c>
      <c r="K161" s="107">
        <f t="shared" si="53"/>
        <v>-2450</v>
      </c>
      <c r="L161" s="107">
        <f t="shared" si="53"/>
        <v>-5450</v>
      </c>
      <c r="M161" s="107">
        <f t="shared" si="53"/>
        <v>-5450</v>
      </c>
      <c r="N161" s="107">
        <f t="shared" si="53"/>
        <v>-5450</v>
      </c>
      <c r="O161" s="107">
        <f t="shared" si="53"/>
        <v>-5900</v>
      </c>
      <c r="P161" s="107">
        <f t="shared" si="53"/>
        <v>-5900</v>
      </c>
      <c r="Q161" s="107">
        <f t="shared" si="53"/>
        <v>-5900</v>
      </c>
      <c r="R161" s="107">
        <f t="shared" si="53"/>
        <v>-5900</v>
      </c>
      <c r="S161" s="107">
        <f t="shared" si="53"/>
        <v>-5900</v>
      </c>
      <c r="T161" s="107">
        <f t="shared" si="53"/>
        <v>-5900</v>
      </c>
      <c r="U161" s="107">
        <f t="shared" si="53"/>
        <v>-5900</v>
      </c>
      <c r="V161" s="107">
        <f t="shared" si="53"/>
        <v>-5900</v>
      </c>
      <c r="W161" s="107">
        <f t="shared" si="53"/>
        <v>-5900</v>
      </c>
      <c r="X161" s="107">
        <f t="shared" si="53"/>
        <v>-5900</v>
      </c>
      <c r="Y161" s="107">
        <f t="shared" si="53"/>
        <v>-5900</v>
      </c>
      <c r="Z161" s="107">
        <f t="shared" si="53"/>
        <v>-5900</v>
      </c>
      <c r="AA161" s="107">
        <f t="shared" si="53"/>
        <v>-5900</v>
      </c>
      <c r="AB161" s="107">
        <f t="shared" si="53"/>
        <v>-5900</v>
      </c>
      <c r="AC161" s="107">
        <f t="shared" si="53"/>
        <v>-5900</v>
      </c>
      <c r="AD161" s="107">
        <f>AC161+$C$159*2-AD159-AD160</f>
        <v>-5900</v>
      </c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</row>
    <row r="162" spans="1:107" ht="24.95" customHeight="1" thickBot="1" x14ac:dyDescent="0.25">
      <c r="B162" s="104">
        <f>SUM(B2:B161)</f>
        <v>153213</v>
      </c>
      <c r="C162" s="105">
        <f>SUM(C2:C161)</f>
        <v>22125</v>
      </c>
      <c r="D162" s="129">
        <f>D2+D5+D8+D11+D14+D17+D20+D23+D26+D29+D32+D35+D38+D41+D44+D52+D55+D58+D61+D65+D68+D71+D75+D78+D81+D84+D87+D96+D99+D102+D105+D108+D111+D114+D117+D120+D123+D126+D129+D132+D135+D138+D141+D144+D147+D150+D153+D156+D159+D90+D93</f>
        <v>754455</v>
      </c>
      <c r="E162" s="130"/>
      <c r="F162" s="87"/>
      <c r="G162" s="71"/>
      <c r="H162" s="87"/>
      <c r="I162" s="71"/>
      <c r="J162" s="87"/>
      <c r="K162" s="71"/>
      <c r="L162" s="87"/>
      <c r="M162" s="71"/>
      <c r="N162" s="87"/>
      <c r="O162" s="71"/>
      <c r="P162" s="87"/>
      <c r="Q162" s="71"/>
      <c r="R162" s="87"/>
      <c r="S162" s="71"/>
      <c r="T162" s="87"/>
      <c r="U162" s="71"/>
      <c r="V162" s="87"/>
      <c r="W162" s="71"/>
      <c r="X162" s="87"/>
      <c r="Y162" s="71"/>
      <c r="Z162" s="87"/>
      <c r="AA162" s="71"/>
      <c r="AB162" s="94"/>
      <c r="AC162" s="97"/>
      <c r="AD162" s="97"/>
    </row>
    <row r="163" spans="1:107" ht="24.95" customHeight="1" thickBot="1" x14ac:dyDescent="0.25">
      <c r="B163"/>
      <c r="C163"/>
      <c r="D163" s="131">
        <f>D3+D6+D9+D12+D15+D18+D21+D24+D27+D30+D33+D36+D39+D42+D45+D50+D53+D56+D59+D62+D66+D69+D72+D76+D79+D82+D85+D88+D97+D100+D103+D106+D109+D112+D115+D118+D121+D124+D127+D130+D133+D136+D139+D142+D145+D148+D151+D154+D157+D160+D91+D94</f>
        <v>106395</v>
      </c>
      <c r="E163" s="132"/>
      <c r="F163" s="88"/>
      <c r="H163" s="88"/>
      <c r="J163" s="88"/>
      <c r="L163" s="88"/>
      <c r="N163" s="88"/>
      <c r="P163" s="88"/>
      <c r="R163" s="88"/>
      <c r="T163" s="88"/>
      <c r="V163" s="88"/>
      <c r="X163" s="88"/>
      <c r="Z163" s="88"/>
      <c r="AB163" s="95"/>
      <c r="AC163" s="88"/>
      <c r="AD163" s="88"/>
    </row>
    <row r="164" spans="1:107" ht="13.5" thickBot="1" x14ac:dyDescent="0.25">
      <c r="B164" s="118"/>
      <c r="C164"/>
      <c r="D164" s="20"/>
      <c r="E164" s="19"/>
      <c r="F164" s="88"/>
      <c r="H164" s="88"/>
      <c r="J164" s="88"/>
      <c r="L164" s="88"/>
      <c r="N164" s="88"/>
      <c r="P164" s="88"/>
      <c r="R164" s="88"/>
      <c r="T164" s="88"/>
      <c r="V164" s="88"/>
      <c r="X164" s="88"/>
      <c r="Z164" s="88"/>
      <c r="AB164" s="95"/>
      <c r="AC164" s="88"/>
      <c r="AD164" s="88"/>
    </row>
    <row r="165" spans="1:107" ht="13.5" thickBot="1" x14ac:dyDescent="0.25">
      <c r="A165" t="s">
        <v>65</v>
      </c>
      <c r="B165" s="118"/>
      <c r="C165"/>
      <c r="D165" s="127" t="s">
        <v>59</v>
      </c>
      <c r="E165" s="128"/>
      <c r="F165" s="87">
        <f t="shared" ref="F165:AD165" si="54">F139+F3+F6+F9+F12+F15+F18+F21+F24+F27+F30+F33+F36+F39+F42+F45+F48+F50+F53+F56+F59+F62+F66+F69+F72+F76+F79+F82+F85+F88+F97+F100+F103+F106+F109+F112+F115+F118+F121+F124+F127+F130+F133+F136+F142+F145+F148+F151+F154+F157+F160+F91+F94</f>
        <v>0</v>
      </c>
      <c r="G165" s="87">
        <f t="shared" si="54"/>
        <v>6600</v>
      </c>
      <c r="H165" s="87">
        <f t="shared" si="54"/>
        <v>0</v>
      </c>
      <c r="I165" s="87">
        <f t="shared" si="54"/>
        <v>1045</v>
      </c>
      <c r="J165" s="87">
        <f t="shared" si="54"/>
        <v>0</v>
      </c>
      <c r="K165" s="87">
        <f t="shared" si="54"/>
        <v>22100</v>
      </c>
      <c r="L165" s="87">
        <f t="shared" si="54"/>
        <v>13500</v>
      </c>
      <c r="M165" s="87">
        <f t="shared" si="54"/>
        <v>5000</v>
      </c>
      <c r="N165" s="87">
        <f t="shared" si="54"/>
        <v>1200</v>
      </c>
      <c r="O165" s="87">
        <f t="shared" si="54"/>
        <v>16000</v>
      </c>
      <c r="P165" s="87">
        <f t="shared" si="54"/>
        <v>2100</v>
      </c>
      <c r="Q165" s="87">
        <f t="shared" si="54"/>
        <v>0</v>
      </c>
      <c r="R165" s="87">
        <f t="shared" si="54"/>
        <v>0</v>
      </c>
      <c r="S165" s="87">
        <f t="shared" si="54"/>
        <v>0</v>
      </c>
      <c r="T165" s="87">
        <f t="shared" si="54"/>
        <v>0</v>
      </c>
      <c r="U165" s="87">
        <f t="shared" si="54"/>
        <v>0</v>
      </c>
      <c r="V165" s="87">
        <f t="shared" si="54"/>
        <v>17950</v>
      </c>
      <c r="W165" s="87">
        <f t="shared" si="54"/>
        <v>0</v>
      </c>
      <c r="X165" s="87">
        <f t="shared" si="54"/>
        <v>0</v>
      </c>
      <c r="Y165" s="87">
        <f t="shared" si="54"/>
        <v>0</v>
      </c>
      <c r="Z165" s="87">
        <f t="shared" si="54"/>
        <v>0</v>
      </c>
      <c r="AA165" s="87">
        <f t="shared" si="54"/>
        <v>900</v>
      </c>
      <c r="AB165" s="87">
        <f t="shared" si="54"/>
        <v>0</v>
      </c>
      <c r="AC165" s="87">
        <f t="shared" si="54"/>
        <v>0</v>
      </c>
      <c r="AD165" s="87">
        <f t="shared" si="54"/>
        <v>20000</v>
      </c>
    </row>
    <row r="166" spans="1:107" ht="13.5" thickBot="1" x14ac:dyDescent="0.25">
      <c r="A166" t="s">
        <v>66</v>
      </c>
      <c r="B166"/>
      <c r="C166"/>
      <c r="D166" s="121" t="s">
        <v>57</v>
      </c>
      <c r="E166" s="122"/>
      <c r="F166" s="89">
        <f t="shared" ref="F166:AD166" si="55">F138+F61+F2+F44+F90+F159+F156+F153+F150+F147+F144+F135+F132+F126+F123+F120+F117+F114+F111+F108+F105+F102+F99+F96+F87+F84+F81+F71+F68+F65+F58+F52+F47+F41+F38+F35+F26+F23+F17+F14+F11+F8+F5+F141+F129+F55+F32+F29+F75+F78+F93</f>
        <v>1500</v>
      </c>
      <c r="G166" s="91">
        <f t="shared" si="55"/>
        <v>20590</v>
      </c>
      <c r="H166" s="91">
        <f t="shared" si="55"/>
        <v>62960</v>
      </c>
      <c r="I166" s="91">
        <f t="shared" si="55"/>
        <v>37065</v>
      </c>
      <c r="J166" s="91">
        <f t="shared" si="55"/>
        <v>7750</v>
      </c>
      <c r="K166" s="91">
        <f t="shared" si="55"/>
        <v>5700</v>
      </c>
      <c r="L166" s="91">
        <f t="shared" si="55"/>
        <v>102280</v>
      </c>
      <c r="M166" s="91">
        <f t="shared" si="55"/>
        <v>54730</v>
      </c>
      <c r="N166" s="91">
        <f t="shared" si="55"/>
        <v>41950</v>
      </c>
      <c r="O166" s="91">
        <f t="shared" si="55"/>
        <v>26950</v>
      </c>
      <c r="P166" s="91">
        <f t="shared" si="55"/>
        <v>24300</v>
      </c>
      <c r="Q166" s="91">
        <f t="shared" si="55"/>
        <v>0</v>
      </c>
      <c r="R166" s="91">
        <f t="shared" si="55"/>
        <v>0</v>
      </c>
      <c r="S166" s="91">
        <f t="shared" si="55"/>
        <v>0</v>
      </c>
      <c r="T166" s="91">
        <f t="shared" si="55"/>
        <v>0</v>
      </c>
      <c r="U166" s="91">
        <f t="shared" si="55"/>
        <v>0</v>
      </c>
      <c r="V166" s="91">
        <f t="shared" si="55"/>
        <v>274490</v>
      </c>
      <c r="W166" s="91">
        <f t="shared" si="55"/>
        <v>0</v>
      </c>
      <c r="X166" s="91">
        <f t="shared" si="55"/>
        <v>0</v>
      </c>
      <c r="Y166" s="91">
        <f t="shared" si="55"/>
        <v>0</v>
      </c>
      <c r="Z166" s="91">
        <f t="shared" si="55"/>
        <v>0</v>
      </c>
      <c r="AA166" s="91">
        <f t="shared" si="55"/>
        <v>8900</v>
      </c>
      <c r="AB166" s="91">
        <f t="shared" si="55"/>
        <v>0</v>
      </c>
      <c r="AC166" s="91">
        <f t="shared" si="55"/>
        <v>0</v>
      </c>
      <c r="AD166" s="91">
        <f t="shared" si="55"/>
        <v>0</v>
      </c>
    </row>
    <row r="167" spans="1:107" ht="13.5" thickBot="1" x14ac:dyDescent="0.25">
      <c r="A167" t="s">
        <v>67</v>
      </c>
      <c r="B167"/>
      <c r="C167"/>
      <c r="D167" s="123" t="s">
        <v>58</v>
      </c>
      <c r="E167" s="124"/>
      <c r="F167" s="90"/>
      <c r="G167" s="92">
        <f>45000+F168</f>
        <v>45000</v>
      </c>
      <c r="H167" s="93">
        <f>45000+G168</f>
        <v>67910</v>
      </c>
      <c r="I167" s="92">
        <f t="shared" ref="I167:AC167" si="56">45000+H168</f>
        <v>49950</v>
      </c>
      <c r="J167" s="93">
        <f t="shared" si="56"/>
        <v>57885</v>
      </c>
      <c r="K167" s="92">
        <f t="shared" si="56"/>
        <v>95135</v>
      </c>
      <c r="L167" s="93">
        <f t="shared" si="56"/>
        <v>134435</v>
      </c>
      <c r="M167" s="92">
        <f t="shared" si="56"/>
        <v>77155</v>
      </c>
      <c r="N167" s="93">
        <f t="shared" si="56"/>
        <v>67425</v>
      </c>
      <c r="O167" s="92">
        <f t="shared" si="56"/>
        <v>70475</v>
      </c>
      <c r="P167" s="93">
        <f t="shared" si="56"/>
        <v>88525</v>
      </c>
      <c r="Q167" s="92">
        <f t="shared" si="56"/>
        <v>109225</v>
      </c>
      <c r="R167" s="93">
        <f t="shared" si="56"/>
        <v>154225</v>
      </c>
      <c r="S167" s="92">
        <f t="shared" si="56"/>
        <v>199225</v>
      </c>
      <c r="T167" s="93">
        <f t="shared" si="56"/>
        <v>244225</v>
      </c>
      <c r="U167" s="92">
        <f t="shared" si="56"/>
        <v>289225</v>
      </c>
      <c r="V167" s="93">
        <f t="shared" si="56"/>
        <v>334225</v>
      </c>
      <c r="W167" s="92">
        <f t="shared" si="56"/>
        <v>104735</v>
      </c>
      <c r="X167" s="93">
        <f t="shared" si="56"/>
        <v>149735</v>
      </c>
      <c r="Y167" s="92">
        <f t="shared" si="56"/>
        <v>194735</v>
      </c>
      <c r="Z167" s="93">
        <f t="shared" si="56"/>
        <v>239735</v>
      </c>
      <c r="AA167" s="92">
        <f t="shared" si="56"/>
        <v>284735</v>
      </c>
      <c r="AB167" s="96">
        <f t="shared" si="56"/>
        <v>320835</v>
      </c>
      <c r="AC167" s="93">
        <f t="shared" si="56"/>
        <v>365835</v>
      </c>
      <c r="AD167" s="93">
        <f>45000+AC168</f>
        <v>410835</v>
      </c>
    </row>
    <row r="168" spans="1:107" ht="13.5" thickBot="1" x14ac:dyDescent="0.25">
      <c r="B168"/>
      <c r="C168"/>
      <c r="D168" s="125" t="s">
        <v>60</v>
      </c>
      <c r="E168" s="126"/>
      <c r="F168" s="114"/>
      <c r="G168" s="115">
        <f>G167-G166-F166</f>
        <v>22910</v>
      </c>
      <c r="H168" s="116">
        <f t="shared" ref="H168:R168" si="57">H167-H166</f>
        <v>4950</v>
      </c>
      <c r="I168" s="115">
        <f t="shared" si="57"/>
        <v>12885</v>
      </c>
      <c r="J168" s="116">
        <f t="shared" si="57"/>
        <v>50135</v>
      </c>
      <c r="K168" s="115">
        <f t="shared" si="57"/>
        <v>89435</v>
      </c>
      <c r="L168" s="116">
        <f t="shared" si="57"/>
        <v>32155</v>
      </c>
      <c r="M168" s="115">
        <f>M167-M166</f>
        <v>22425</v>
      </c>
      <c r="N168" s="116">
        <f t="shared" si="57"/>
        <v>25475</v>
      </c>
      <c r="O168" s="115">
        <f t="shared" si="57"/>
        <v>43525</v>
      </c>
      <c r="P168" s="116">
        <f t="shared" si="57"/>
        <v>64225</v>
      </c>
      <c r="Q168" s="115">
        <f t="shared" si="57"/>
        <v>109225</v>
      </c>
      <c r="R168" s="116">
        <f t="shared" si="57"/>
        <v>154225</v>
      </c>
      <c r="S168" s="115">
        <f t="shared" ref="S168:Z168" si="58">S167-S166</f>
        <v>199225</v>
      </c>
      <c r="T168" s="116">
        <f t="shared" si="58"/>
        <v>244225</v>
      </c>
      <c r="U168" s="115">
        <f t="shared" si="58"/>
        <v>289225</v>
      </c>
      <c r="V168" s="116">
        <f t="shared" si="58"/>
        <v>59735</v>
      </c>
      <c r="W168" s="115">
        <f t="shared" si="58"/>
        <v>104735</v>
      </c>
      <c r="X168" s="116">
        <f t="shared" si="58"/>
        <v>149735</v>
      </c>
      <c r="Y168" s="115">
        <f t="shared" si="58"/>
        <v>194735</v>
      </c>
      <c r="Z168" s="116">
        <f t="shared" si="58"/>
        <v>239735</v>
      </c>
      <c r="AA168" s="115">
        <f>AA167-AA166</f>
        <v>275835</v>
      </c>
      <c r="AB168" s="117">
        <f>AB167-AB166</f>
        <v>320835</v>
      </c>
      <c r="AC168" s="116">
        <f>AC167-AC166</f>
        <v>365835</v>
      </c>
      <c r="AD168" s="116">
        <f>AD167-AD166</f>
        <v>410835</v>
      </c>
    </row>
    <row r="169" spans="1:107" x14ac:dyDescent="0.2">
      <c r="B169"/>
      <c r="C169"/>
    </row>
    <row r="170" spans="1:107" x14ac:dyDescent="0.2">
      <c r="B170"/>
      <c r="C170"/>
    </row>
    <row r="171" spans="1:107" x14ac:dyDescent="0.2">
      <c r="B171"/>
      <c r="C171"/>
    </row>
    <row r="172" spans="1:107" x14ac:dyDescent="0.2">
      <c r="B172"/>
      <c r="C172"/>
    </row>
    <row r="173" spans="1:107" x14ac:dyDescent="0.2">
      <c r="B173" t="s">
        <v>69</v>
      </c>
      <c r="C173"/>
    </row>
    <row r="174" spans="1:107" x14ac:dyDescent="0.2">
      <c r="B174" t="s">
        <v>68</v>
      </c>
      <c r="C174"/>
    </row>
    <row r="175" spans="1:107" x14ac:dyDescent="0.2">
      <c r="B175"/>
      <c r="C175"/>
    </row>
    <row r="176" spans="1:107" x14ac:dyDescent="0.2">
      <c r="B176"/>
      <c r="C176"/>
    </row>
    <row r="177" spans="2:3" x14ac:dyDescent="0.2">
      <c r="B177"/>
      <c r="C177"/>
    </row>
    <row r="178" spans="2:3" x14ac:dyDescent="0.2">
      <c r="B178"/>
      <c r="C178"/>
    </row>
    <row r="179" spans="2:3" x14ac:dyDescent="0.2">
      <c r="B179"/>
      <c r="C179"/>
    </row>
    <row r="180" spans="2:3" x14ac:dyDescent="0.2">
      <c r="B180"/>
      <c r="C180"/>
    </row>
    <row r="181" spans="2:3" x14ac:dyDescent="0.2">
      <c r="B181"/>
      <c r="C181"/>
    </row>
    <row r="182" spans="2:3" x14ac:dyDescent="0.2">
      <c r="B182"/>
      <c r="C182"/>
    </row>
    <row r="183" spans="2:3" x14ac:dyDescent="0.2">
      <c r="B183"/>
      <c r="C183"/>
    </row>
    <row r="184" spans="2:3" x14ac:dyDescent="0.2">
      <c r="B184"/>
      <c r="C184"/>
    </row>
    <row r="185" spans="2:3" x14ac:dyDescent="0.2">
      <c r="B185"/>
      <c r="C185"/>
    </row>
    <row r="186" spans="2:3" x14ac:dyDescent="0.2">
      <c r="B186"/>
      <c r="C186"/>
    </row>
    <row r="187" spans="2:3" x14ac:dyDescent="0.2">
      <c r="B187"/>
      <c r="C187"/>
    </row>
    <row r="188" spans="2:3" x14ac:dyDescent="0.2">
      <c r="B188"/>
      <c r="C188"/>
    </row>
    <row r="189" spans="2:3" x14ac:dyDescent="0.2">
      <c r="B189"/>
      <c r="C189"/>
    </row>
    <row r="190" spans="2:3" x14ac:dyDescent="0.2">
      <c r="B190"/>
      <c r="C190"/>
    </row>
    <row r="191" spans="2:3" x14ac:dyDescent="0.2">
      <c r="B191"/>
      <c r="C191"/>
    </row>
    <row r="192" spans="2:3" x14ac:dyDescent="0.2">
      <c r="B192"/>
      <c r="C192"/>
    </row>
    <row r="193" spans="2:3" x14ac:dyDescent="0.2">
      <c r="B193"/>
      <c r="C193"/>
    </row>
    <row r="194" spans="2:3" x14ac:dyDescent="0.2">
      <c r="B194"/>
      <c r="C194"/>
    </row>
    <row r="195" spans="2:3" x14ac:dyDescent="0.2">
      <c r="B195"/>
      <c r="C195"/>
    </row>
    <row r="196" spans="2:3" x14ac:dyDescent="0.2">
      <c r="B196"/>
      <c r="C196"/>
    </row>
    <row r="197" spans="2:3" x14ac:dyDescent="0.2">
      <c r="B197"/>
      <c r="C197"/>
    </row>
    <row r="198" spans="2:3" x14ac:dyDescent="0.2">
      <c r="B198"/>
      <c r="C198"/>
    </row>
    <row r="199" spans="2:3" x14ac:dyDescent="0.2">
      <c r="B199"/>
      <c r="C199"/>
    </row>
    <row r="200" spans="2:3" x14ac:dyDescent="0.2">
      <c r="B200"/>
      <c r="C200"/>
    </row>
    <row r="201" spans="2:3" x14ac:dyDescent="0.2">
      <c r="B201"/>
      <c r="C201"/>
    </row>
    <row r="202" spans="2:3" x14ac:dyDescent="0.2">
      <c r="B202"/>
      <c r="C202"/>
    </row>
    <row r="203" spans="2:3" x14ac:dyDescent="0.2">
      <c r="B203"/>
      <c r="C203"/>
    </row>
    <row r="204" spans="2:3" x14ac:dyDescent="0.2">
      <c r="B204"/>
      <c r="C204"/>
    </row>
    <row r="205" spans="2:3" x14ac:dyDescent="0.2">
      <c r="B205"/>
      <c r="C205"/>
    </row>
    <row r="206" spans="2:3" x14ac:dyDescent="0.2">
      <c r="B206"/>
      <c r="C206"/>
    </row>
    <row r="207" spans="2:3" x14ac:dyDescent="0.2">
      <c r="B207"/>
      <c r="C207"/>
    </row>
    <row r="208" spans="2:3" x14ac:dyDescent="0.2">
      <c r="B208"/>
      <c r="C208"/>
    </row>
    <row r="209" spans="2:3" x14ac:dyDescent="0.2">
      <c r="B209"/>
      <c r="C209"/>
    </row>
    <row r="210" spans="2:3" x14ac:dyDescent="0.2">
      <c r="B210"/>
      <c r="C210"/>
    </row>
    <row r="211" spans="2:3" x14ac:dyDescent="0.2">
      <c r="B211"/>
      <c r="C211"/>
    </row>
    <row r="212" spans="2:3" x14ac:dyDescent="0.2">
      <c r="B212"/>
      <c r="C212"/>
    </row>
    <row r="213" spans="2:3" x14ac:dyDescent="0.2">
      <c r="B213"/>
      <c r="C213"/>
    </row>
    <row r="214" spans="2:3" x14ac:dyDescent="0.2">
      <c r="B214"/>
      <c r="C214"/>
    </row>
    <row r="215" spans="2:3" x14ac:dyDescent="0.2">
      <c r="B215"/>
      <c r="C215"/>
    </row>
    <row r="216" spans="2:3" x14ac:dyDescent="0.2">
      <c r="B216"/>
      <c r="C216"/>
    </row>
    <row r="217" spans="2:3" x14ac:dyDescent="0.2">
      <c r="B217"/>
      <c r="C217"/>
    </row>
    <row r="218" spans="2:3" x14ac:dyDescent="0.2">
      <c r="B218"/>
      <c r="C218"/>
    </row>
    <row r="219" spans="2:3" x14ac:dyDescent="0.2">
      <c r="B219"/>
      <c r="C219"/>
    </row>
    <row r="220" spans="2:3" x14ac:dyDescent="0.2">
      <c r="B220"/>
      <c r="C220"/>
    </row>
    <row r="221" spans="2:3" x14ac:dyDescent="0.2">
      <c r="B221"/>
      <c r="C221"/>
    </row>
    <row r="222" spans="2:3" x14ac:dyDescent="0.2">
      <c r="B222"/>
      <c r="C222"/>
    </row>
    <row r="223" spans="2:3" x14ac:dyDescent="0.2">
      <c r="B223"/>
      <c r="C223"/>
    </row>
    <row r="224" spans="2:3" x14ac:dyDescent="0.2">
      <c r="B224"/>
      <c r="C224"/>
    </row>
    <row r="225" spans="2:3" x14ac:dyDescent="0.2">
      <c r="B225"/>
      <c r="C225"/>
    </row>
    <row r="226" spans="2:3" x14ac:dyDescent="0.2">
      <c r="B226"/>
      <c r="C226"/>
    </row>
    <row r="227" spans="2:3" x14ac:dyDescent="0.2">
      <c r="B227"/>
      <c r="C227"/>
    </row>
    <row r="228" spans="2:3" x14ac:dyDescent="0.2">
      <c r="B228"/>
      <c r="C228"/>
    </row>
    <row r="229" spans="2:3" x14ac:dyDescent="0.2">
      <c r="B229"/>
      <c r="C229"/>
    </row>
    <row r="230" spans="2:3" x14ac:dyDescent="0.2">
      <c r="B230"/>
      <c r="C230"/>
    </row>
    <row r="231" spans="2:3" x14ac:dyDescent="0.2">
      <c r="B231"/>
      <c r="C231"/>
    </row>
    <row r="232" spans="2:3" x14ac:dyDescent="0.2">
      <c r="B232"/>
      <c r="C232"/>
    </row>
    <row r="233" spans="2:3" x14ac:dyDescent="0.2">
      <c r="B233"/>
      <c r="C233"/>
    </row>
    <row r="234" spans="2:3" x14ac:dyDescent="0.2">
      <c r="B234"/>
      <c r="C234"/>
    </row>
    <row r="235" spans="2:3" x14ac:dyDescent="0.2">
      <c r="B235"/>
      <c r="C235"/>
    </row>
    <row r="236" spans="2:3" x14ac:dyDescent="0.2">
      <c r="B236"/>
      <c r="C236"/>
    </row>
    <row r="237" spans="2:3" x14ac:dyDescent="0.2">
      <c r="B237"/>
      <c r="C237"/>
    </row>
    <row r="238" spans="2:3" x14ac:dyDescent="0.2">
      <c r="B238"/>
      <c r="C238"/>
    </row>
    <row r="239" spans="2:3" x14ac:dyDescent="0.2">
      <c r="B239"/>
      <c r="C239"/>
    </row>
    <row r="240" spans="2:3" x14ac:dyDescent="0.2">
      <c r="B240"/>
      <c r="C240"/>
    </row>
    <row r="241" spans="2:3" x14ac:dyDescent="0.2">
      <c r="B241"/>
      <c r="C241"/>
    </row>
    <row r="242" spans="2:3" x14ac:dyDescent="0.2">
      <c r="B242"/>
      <c r="C242"/>
    </row>
    <row r="243" spans="2:3" x14ac:dyDescent="0.2">
      <c r="B243"/>
      <c r="C243"/>
    </row>
    <row r="244" spans="2:3" x14ac:dyDescent="0.2">
      <c r="B244"/>
      <c r="C244"/>
    </row>
    <row r="245" spans="2:3" x14ac:dyDescent="0.2">
      <c r="B245"/>
      <c r="C245"/>
    </row>
    <row r="246" spans="2:3" x14ac:dyDescent="0.2">
      <c r="B246"/>
      <c r="C246"/>
    </row>
    <row r="247" spans="2:3" x14ac:dyDescent="0.2">
      <c r="B247"/>
      <c r="C247"/>
    </row>
    <row r="248" spans="2:3" x14ac:dyDescent="0.2">
      <c r="B248"/>
      <c r="C248"/>
    </row>
    <row r="249" spans="2:3" x14ac:dyDescent="0.2">
      <c r="B249"/>
      <c r="C249"/>
    </row>
    <row r="250" spans="2:3" x14ac:dyDescent="0.2">
      <c r="B250"/>
      <c r="C250"/>
    </row>
    <row r="251" spans="2:3" x14ac:dyDescent="0.2">
      <c r="B251"/>
      <c r="C251"/>
    </row>
    <row r="252" spans="2:3" x14ac:dyDescent="0.2">
      <c r="B252"/>
      <c r="C252"/>
    </row>
    <row r="253" spans="2:3" x14ac:dyDescent="0.2">
      <c r="B253"/>
      <c r="C253"/>
    </row>
    <row r="254" spans="2:3" x14ac:dyDescent="0.2">
      <c r="B254"/>
      <c r="C254"/>
    </row>
    <row r="255" spans="2:3" x14ac:dyDescent="0.2">
      <c r="B255"/>
      <c r="C255"/>
    </row>
    <row r="256" spans="2:3" x14ac:dyDescent="0.2">
      <c r="B256"/>
      <c r="C256"/>
    </row>
    <row r="257" spans="2:3" x14ac:dyDescent="0.2">
      <c r="B257"/>
      <c r="C257"/>
    </row>
    <row r="258" spans="2:3" x14ac:dyDescent="0.2">
      <c r="B258"/>
      <c r="C258"/>
    </row>
    <row r="259" spans="2:3" x14ac:dyDescent="0.2">
      <c r="B259"/>
      <c r="C259"/>
    </row>
    <row r="260" spans="2:3" x14ac:dyDescent="0.2">
      <c r="B260"/>
      <c r="C260"/>
    </row>
    <row r="261" spans="2:3" x14ac:dyDescent="0.2">
      <c r="B261"/>
      <c r="C261"/>
    </row>
    <row r="262" spans="2:3" x14ac:dyDescent="0.2">
      <c r="B262"/>
      <c r="C262"/>
    </row>
    <row r="263" spans="2:3" x14ac:dyDescent="0.2">
      <c r="B263"/>
      <c r="C263"/>
    </row>
  </sheetData>
  <sortState ref="A2:A63">
    <sortCondition ref="A73:A153"/>
  </sortState>
  <mergeCells count="205">
    <mergeCell ref="B65:B67"/>
    <mergeCell ref="B68:B70"/>
    <mergeCell ref="B71:B73"/>
    <mergeCell ref="C78:C80"/>
    <mergeCell ref="C52:C54"/>
    <mergeCell ref="A93:A95"/>
    <mergeCell ref="A75:A77"/>
    <mergeCell ref="C55:C57"/>
    <mergeCell ref="C84:C86"/>
    <mergeCell ref="B81:B83"/>
    <mergeCell ref="B84:B86"/>
    <mergeCell ref="B87:B89"/>
    <mergeCell ref="B58:B60"/>
    <mergeCell ref="B117:B119"/>
    <mergeCell ref="C114:C116"/>
    <mergeCell ref="A87:A89"/>
    <mergeCell ref="A96:A98"/>
    <mergeCell ref="A117:A119"/>
    <mergeCell ref="A102:A104"/>
    <mergeCell ref="A105:A107"/>
    <mergeCell ref="C87:C89"/>
    <mergeCell ref="B111:B113"/>
    <mergeCell ref="B114:B116"/>
    <mergeCell ref="B102:B104"/>
    <mergeCell ref="B105:B107"/>
    <mergeCell ref="B108:B110"/>
    <mergeCell ref="A108:A110"/>
    <mergeCell ref="A111:A113"/>
    <mergeCell ref="A114:A116"/>
    <mergeCell ref="A90:A92"/>
    <mergeCell ref="A68:A70"/>
    <mergeCell ref="A71:A73"/>
    <mergeCell ref="A81:A83"/>
    <mergeCell ref="A84:A86"/>
    <mergeCell ref="A35:A37"/>
    <mergeCell ref="A38:A40"/>
    <mergeCell ref="A99:A101"/>
    <mergeCell ref="A55:A57"/>
    <mergeCell ref="A61:A63"/>
    <mergeCell ref="A58:A60"/>
    <mergeCell ref="A44:A46"/>
    <mergeCell ref="A65:A67"/>
    <mergeCell ref="A52:A54"/>
    <mergeCell ref="A78:A80"/>
    <mergeCell ref="B156:B158"/>
    <mergeCell ref="B159:B161"/>
    <mergeCell ref="B126:B128"/>
    <mergeCell ref="B153:B155"/>
    <mergeCell ref="A144:A146"/>
    <mergeCell ref="A147:A149"/>
    <mergeCell ref="A120:A122"/>
    <mergeCell ref="A123:A125"/>
    <mergeCell ref="A129:A131"/>
    <mergeCell ref="A138:A140"/>
    <mergeCell ref="A159:A161"/>
    <mergeCell ref="B129:B131"/>
    <mergeCell ref="B132:B134"/>
    <mergeCell ref="B135:B137"/>
    <mergeCell ref="B120:B122"/>
    <mergeCell ref="B123:B125"/>
    <mergeCell ref="A150:A152"/>
    <mergeCell ref="A153:A155"/>
    <mergeCell ref="A156:A158"/>
    <mergeCell ref="A141:A143"/>
    <mergeCell ref="A132:A134"/>
    <mergeCell ref="A135:A137"/>
    <mergeCell ref="A126:A128"/>
    <mergeCell ref="C156:C158"/>
    <mergeCell ref="C159:C161"/>
    <mergeCell ref="C90:C92"/>
    <mergeCell ref="C117:C119"/>
    <mergeCell ref="C120:C122"/>
    <mergeCell ref="C123:C125"/>
    <mergeCell ref="C126:C128"/>
    <mergeCell ref="C132:C134"/>
    <mergeCell ref="C135:C137"/>
    <mergeCell ref="C144:C146"/>
    <mergeCell ref="C147:C149"/>
    <mergeCell ref="C150:C152"/>
    <mergeCell ref="C153:C155"/>
    <mergeCell ref="C141:C143"/>
    <mergeCell ref="C129:C131"/>
    <mergeCell ref="C105:C107"/>
    <mergeCell ref="C108:C110"/>
    <mergeCell ref="C111:C113"/>
    <mergeCell ref="C93:C95"/>
    <mergeCell ref="C138:C140"/>
    <mergeCell ref="C96:C98"/>
    <mergeCell ref="C99:C101"/>
    <mergeCell ref="C102:C104"/>
    <mergeCell ref="D28:E28"/>
    <mergeCell ref="D31:E31"/>
    <mergeCell ref="D34:E34"/>
    <mergeCell ref="D37:E37"/>
    <mergeCell ref="D40:E40"/>
    <mergeCell ref="D43:E43"/>
    <mergeCell ref="D46:E46"/>
    <mergeCell ref="C26:C28"/>
    <mergeCell ref="C35:C37"/>
    <mergeCell ref="C38:C40"/>
    <mergeCell ref="C41:C43"/>
    <mergeCell ref="C29:C31"/>
    <mergeCell ref="C32:C34"/>
    <mergeCell ref="D49:E49"/>
    <mergeCell ref="C61:C63"/>
    <mergeCell ref="D116:E116"/>
    <mergeCell ref="D119:E119"/>
    <mergeCell ref="C58:C60"/>
    <mergeCell ref="C50:C51"/>
    <mergeCell ref="C65:C67"/>
    <mergeCell ref="C68:C70"/>
    <mergeCell ref="C71:C73"/>
    <mergeCell ref="D63:E63"/>
    <mergeCell ref="D110:E110"/>
    <mergeCell ref="D113:E113"/>
    <mergeCell ref="C81:C83"/>
    <mergeCell ref="C75:C77"/>
    <mergeCell ref="A2:A4"/>
    <mergeCell ref="B2:B4"/>
    <mergeCell ref="C2:C4"/>
    <mergeCell ref="A5:A7"/>
    <mergeCell ref="A8:A10"/>
    <mergeCell ref="A11:A13"/>
    <mergeCell ref="B8:B10"/>
    <mergeCell ref="B11:B13"/>
    <mergeCell ref="C5:C7"/>
    <mergeCell ref="C8:C10"/>
    <mergeCell ref="C11:C13"/>
    <mergeCell ref="B5:B7"/>
    <mergeCell ref="B52:B54"/>
    <mergeCell ref="D104:E104"/>
    <mergeCell ref="D107:E107"/>
    <mergeCell ref="D95:E95"/>
    <mergeCell ref="D51:E51"/>
    <mergeCell ref="D67:E67"/>
    <mergeCell ref="D92:E92"/>
    <mergeCell ref="D60:E60"/>
    <mergeCell ref="D98:E98"/>
    <mergeCell ref="D101:E101"/>
    <mergeCell ref="D70:E70"/>
    <mergeCell ref="D73:E73"/>
    <mergeCell ref="D77:E77"/>
    <mergeCell ref="D80:E80"/>
    <mergeCell ref="D83:E83"/>
    <mergeCell ref="D86:E86"/>
    <mergeCell ref="D89:E89"/>
    <mergeCell ref="D54:E54"/>
    <mergeCell ref="D57:E57"/>
    <mergeCell ref="B78:B80"/>
    <mergeCell ref="B96:B98"/>
    <mergeCell ref="B99:B101"/>
    <mergeCell ref="B75:B77"/>
    <mergeCell ref="B55:B57"/>
    <mergeCell ref="D1:E1"/>
    <mergeCell ref="D4:E4"/>
    <mergeCell ref="D7:E7"/>
    <mergeCell ref="D10:E10"/>
    <mergeCell ref="D13:E13"/>
    <mergeCell ref="D16:E16"/>
    <mergeCell ref="D19:E19"/>
    <mergeCell ref="D22:E22"/>
    <mergeCell ref="D25:E25"/>
    <mergeCell ref="C14:C16"/>
    <mergeCell ref="C17:C19"/>
    <mergeCell ref="C23:C25"/>
    <mergeCell ref="C20:C22"/>
    <mergeCell ref="A29:A31"/>
    <mergeCell ref="A41:A43"/>
    <mergeCell ref="A47:A49"/>
    <mergeCell ref="A50:A51"/>
    <mergeCell ref="B20:B22"/>
    <mergeCell ref="A14:A16"/>
    <mergeCell ref="A17:A19"/>
    <mergeCell ref="A23:A25"/>
    <mergeCell ref="A26:A28"/>
    <mergeCell ref="A20:A22"/>
    <mergeCell ref="C44:C46"/>
    <mergeCell ref="B44:B46"/>
    <mergeCell ref="B50:B51"/>
    <mergeCell ref="C47:C49"/>
    <mergeCell ref="A32:A34"/>
    <mergeCell ref="B17:B19"/>
    <mergeCell ref="B38:B40"/>
    <mergeCell ref="B47:B49"/>
    <mergeCell ref="B23:B25"/>
    <mergeCell ref="D122:E122"/>
    <mergeCell ref="D125:E125"/>
    <mergeCell ref="D128:E128"/>
    <mergeCell ref="D131:E131"/>
    <mergeCell ref="D166:E166"/>
    <mergeCell ref="D167:E167"/>
    <mergeCell ref="D168:E168"/>
    <mergeCell ref="D165:E165"/>
    <mergeCell ref="D137:E137"/>
    <mergeCell ref="D143:E143"/>
    <mergeCell ref="D146:E146"/>
    <mergeCell ref="D149:E149"/>
    <mergeCell ref="D152:E152"/>
    <mergeCell ref="D155:E155"/>
    <mergeCell ref="D158:E158"/>
    <mergeCell ref="D161:E161"/>
    <mergeCell ref="D140:E140"/>
    <mergeCell ref="D162:E162"/>
    <mergeCell ref="D163:E163"/>
    <mergeCell ref="D134:E13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планирование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mlz-rez</cp:lastModifiedBy>
  <cp:lastPrinted>2022-10-12T09:18:02Z</cp:lastPrinted>
  <dcterms:created xsi:type="dcterms:W3CDTF">1996-10-08T23:32:33Z</dcterms:created>
  <dcterms:modified xsi:type="dcterms:W3CDTF">2023-09-11T10:03:17Z</dcterms:modified>
</cp:coreProperties>
</file>